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53A214-C7DE-4561-A922-64AC2A0818A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الورقة1" sheetId="1" r:id="rId1"/>
  </sheets>
  <definedNames>
    <definedName name="_xlnm._FilterDatabase" localSheetId="0" hidden="1">الورقة1!$B$1:$O$856</definedName>
    <definedName name="_xlnm.Print_Area" localSheetId="0">الورقة1!$B$1:$I$856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M856" i="1"/>
  <c r="J856" i="1"/>
  <c r="F856" i="1"/>
  <c r="M855" i="1"/>
  <c r="J855" i="1"/>
  <c r="F855" i="1"/>
  <c r="M854" i="1"/>
  <c r="J854" i="1"/>
  <c r="F854" i="1"/>
  <c r="M853" i="1"/>
  <c r="J853" i="1"/>
  <c r="F853" i="1"/>
  <c r="M852" i="1"/>
  <c r="J852" i="1"/>
  <c r="F852" i="1"/>
  <c r="M851" i="1"/>
  <c r="J851" i="1"/>
  <c r="F851" i="1"/>
  <c r="M850" i="1"/>
  <c r="J850" i="1"/>
  <c r="F850" i="1"/>
  <c r="M849" i="1"/>
  <c r="J849" i="1"/>
  <c r="F849" i="1"/>
  <c r="M848" i="1"/>
  <c r="J848" i="1"/>
  <c r="F848" i="1"/>
  <c r="M847" i="1"/>
  <c r="J847" i="1"/>
  <c r="F847" i="1"/>
  <c r="M846" i="1"/>
  <c r="J846" i="1"/>
  <c r="F846" i="1"/>
  <c r="M845" i="1"/>
  <c r="J845" i="1"/>
  <c r="F845" i="1"/>
  <c r="M844" i="1"/>
  <c r="J844" i="1"/>
  <c r="F844" i="1"/>
  <c r="M843" i="1"/>
  <c r="J843" i="1"/>
  <c r="F843" i="1"/>
  <c r="M842" i="1"/>
  <c r="J842" i="1"/>
  <c r="F842" i="1"/>
  <c r="M841" i="1"/>
  <c r="J841" i="1"/>
  <c r="F841" i="1"/>
  <c r="M840" i="1"/>
  <c r="J840" i="1"/>
  <c r="F840" i="1"/>
  <c r="M839" i="1"/>
  <c r="J839" i="1"/>
  <c r="F839" i="1"/>
  <c r="M838" i="1"/>
  <c r="J838" i="1"/>
  <c r="F838" i="1"/>
  <c r="M837" i="1"/>
  <c r="J837" i="1"/>
  <c r="F837" i="1"/>
  <c r="M836" i="1"/>
  <c r="J836" i="1"/>
  <c r="F836" i="1"/>
  <c r="M835" i="1"/>
  <c r="J835" i="1"/>
  <c r="F835" i="1"/>
  <c r="M834" i="1"/>
  <c r="J834" i="1"/>
  <c r="F834" i="1"/>
  <c r="M833" i="1"/>
  <c r="J833" i="1"/>
  <c r="F833" i="1"/>
  <c r="M832" i="1"/>
  <c r="J832" i="1"/>
  <c r="F832" i="1"/>
  <c r="M831" i="1"/>
  <c r="J831" i="1"/>
  <c r="F831" i="1"/>
  <c r="M830" i="1"/>
  <c r="J830" i="1"/>
  <c r="F830" i="1"/>
  <c r="M829" i="1"/>
  <c r="J829" i="1"/>
  <c r="F829" i="1"/>
  <c r="M828" i="1"/>
  <c r="J828" i="1"/>
  <c r="F828" i="1"/>
  <c r="M827" i="1"/>
  <c r="J827" i="1"/>
  <c r="F827" i="1"/>
  <c r="M826" i="1"/>
  <c r="J826" i="1"/>
  <c r="F826" i="1"/>
  <c r="M825" i="1"/>
  <c r="J825" i="1"/>
  <c r="F825" i="1"/>
  <c r="M824" i="1"/>
  <c r="J824" i="1"/>
  <c r="F824" i="1"/>
  <c r="M823" i="1"/>
  <c r="J823" i="1"/>
  <c r="F823" i="1"/>
  <c r="M822" i="1"/>
  <c r="J822" i="1"/>
  <c r="F822" i="1"/>
  <c r="M821" i="1"/>
  <c r="J821" i="1"/>
  <c r="F821" i="1"/>
  <c r="M820" i="1"/>
  <c r="J820" i="1"/>
  <c r="F820" i="1"/>
  <c r="M819" i="1"/>
  <c r="J819" i="1"/>
  <c r="F819" i="1"/>
  <c r="M818" i="1"/>
  <c r="J818" i="1"/>
  <c r="F818" i="1"/>
  <c r="M817" i="1"/>
  <c r="J817" i="1"/>
  <c r="F817" i="1"/>
  <c r="M816" i="1"/>
  <c r="J816" i="1"/>
  <c r="F816" i="1"/>
  <c r="M815" i="1"/>
  <c r="J815" i="1"/>
  <c r="F815" i="1"/>
  <c r="M814" i="1"/>
  <c r="J814" i="1"/>
  <c r="F814" i="1"/>
  <c r="M813" i="1"/>
  <c r="J813" i="1"/>
  <c r="F813" i="1"/>
  <c r="M812" i="1"/>
  <c r="J812" i="1"/>
  <c r="F812" i="1"/>
  <c r="M811" i="1"/>
  <c r="J811" i="1"/>
  <c r="F811" i="1"/>
  <c r="M810" i="1"/>
  <c r="J810" i="1"/>
  <c r="F810" i="1"/>
  <c r="M809" i="1"/>
  <c r="J809" i="1"/>
  <c r="F809" i="1"/>
  <c r="M808" i="1"/>
  <c r="J808" i="1"/>
  <c r="F808" i="1"/>
  <c r="M807" i="1"/>
  <c r="J807" i="1"/>
  <c r="F807" i="1"/>
  <c r="M806" i="1"/>
  <c r="J806" i="1"/>
  <c r="F806" i="1"/>
  <c r="M805" i="1"/>
  <c r="J805" i="1"/>
  <c r="F805" i="1"/>
  <c r="M804" i="1"/>
  <c r="J804" i="1"/>
  <c r="F804" i="1"/>
  <c r="M803" i="1"/>
  <c r="J803" i="1"/>
  <c r="F803" i="1"/>
  <c r="M802" i="1"/>
  <c r="J802" i="1"/>
  <c r="F802" i="1"/>
  <c r="M801" i="1"/>
  <c r="J801" i="1"/>
  <c r="F801" i="1"/>
  <c r="M800" i="1"/>
  <c r="J800" i="1"/>
  <c r="F800" i="1"/>
  <c r="M799" i="1"/>
  <c r="J799" i="1"/>
  <c r="F799" i="1"/>
  <c r="M798" i="1"/>
  <c r="J798" i="1"/>
  <c r="F798" i="1"/>
  <c r="M797" i="1"/>
  <c r="J797" i="1"/>
  <c r="F797" i="1"/>
  <c r="M796" i="1"/>
  <c r="J796" i="1"/>
  <c r="F796" i="1"/>
  <c r="M795" i="1"/>
  <c r="J795" i="1"/>
  <c r="F795" i="1"/>
  <c r="M794" i="1"/>
  <c r="J794" i="1"/>
  <c r="F794" i="1"/>
  <c r="M793" i="1"/>
  <c r="J793" i="1"/>
  <c r="F793" i="1"/>
  <c r="M792" i="1"/>
  <c r="J792" i="1"/>
  <c r="F792" i="1"/>
  <c r="M791" i="1"/>
  <c r="J791" i="1"/>
  <c r="F791" i="1"/>
  <c r="M790" i="1"/>
  <c r="J790" i="1"/>
  <c r="F790" i="1"/>
  <c r="M789" i="1"/>
  <c r="J789" i="1"/>
  <c r="F789" i="1"/>
  <c r="M788" i="1"/>
  <c r="J788" i="1"/>
  <c r="F788" i="1"/>
  <c r="M787" i="1"/>
  <c r="J787" i="1"/>
  <c r="F787" i="1"/>
  <c r="M786" i="1"/>
  <c r="J786" i="1"/>
  <c r="F786" i="1"/>
  <c r="M785" i="1"/>
  <c r="J785" i="1"/>
  <c r="F785" i="1"/>
  <c r="M784" i="1"/>
  <c r="J784" i="1"/>
  <c r="F784" i="1"/>
  <c r="M783" i="1"/>
  <c r="J783" i="1"/>
  <c r="F783" i="1"/>
  <c r="M782" i="1"/>
  <c r="J782" i="1"/>
  <c r="F782" i="1"/>
  <c r="M781" i="1"/>
  <c r="J781" i="1"/>
  <c r="F781" i="1"/>
  <c r="M780" i="1"/>
  <c r="J780" i="1"/>
  <c r="F780" i="1"/>
  <c r="M779" i="1"/>
  <c r="J779" i="1"/>
  <c r="F779" i="1"/>
  <c r="M778" i="1"/>
  <c r="J778" i="1"/>
  <c r="F778" i="1"/>
  <c r="M777" i="1"/>
  <c r="J777" i="1"/>
  <c r="F777" i="1"/>
  <c r="M776" i="1"/>
  <c r="J776" i="1"/>
  <c r="F776" i="1"/>
  <c r="M775" i="1"/>
  <c r="J775" i="1"/>
  <c r="F775" i="1"/>
  <c r="M774" i="1"/>
  <c r="J774" i="1"/>
  <c r="F774" i="1"/>
  <c r="M773" i="1"/>
  <c r="J773" i="1"/>
  <c r="F773" i="1"/>
  <c r="M772" i="1"/>
  <c r="J772" i="1"/>
  <c r="F772" i="1"/>
  <c r="M771" i="1"/>
  <c r="J771" i="1"/>
  <c r="F771" i="1"/>
  <c r="M770" i="1"/>
  <c r="J770" i="1"/>
  <c r="F770" i="1"/>
  <c r="M769" i="1"/>
  <c r="J769" i="1"/>
  <c r="F769" i="1"/>
  <c r="M768" i="1"/>
  <c r="J768" i="1"/>
  <c r="F768" i="1"/>
  <c r="M767" i="1"/>
  <c r="J767" i="1"/>
  <c r="F767" i="1"/>
  <c r="M766" i="1"/>
  <c r="J766" i="1"/>
  <c r="F766" i="1"/>
  <c r="M765" i="1"/>
  <c r="J765" i="1"/>
  <c r="F765" i="1"/>
  <c r="M764" i="1"/>
  <c r="J764" i="1"/>
  <c r="F764" i="1"/>
  <c r="M763" i="1"/>
  <c r="J763" i="1"/>
  <c r="F763" i="1"/>
  <c r="M762" i="1"/>
  <c r="J762" i="1"/>
  <c r="F762" i="1"/>
  <c r="M761" i="1"/>
  <c r="J761" i="1"/>
  <c r="F761" i="1"/>
  <c r="M760" i="1"/>
  <c r="J760" i="1"/>
  <c r="F760" i="1"/>
  <c r="M759" i="1"/>
  <c r="J759" i="1"/>
  <c r="F759" i="1"/>
  <c r="M758" i="1"/>
  <c r="J758" i="1"/>
  <c r="F758" i="1"/>
  <c r="M757" i="1"/>
  <c r="J757" i="1"/>
  <c r="F757" i="1"/>
  <c r="M756" i="1"/>
  <c r="J756" i="1"/>
  <c r="F756" i="1"/>
  <c r="M755" i="1"/>
  <c r="J755" i="1"/>
  <c r="F755" i="1"/>
  <c r="M754" i="1"/>
  <c r="J754" i="1"/>
  <c r="F754" i="1"/>
  <c r="M753" i="1"/>
  <c r="J753" i="1"/>
  <c r="F753" i="1"/>
  <c r="M752" i="1"/>
  <c r="J752" i="1"/>
  <c r="F752" i="1"/>
  <c r="M751" i="1"/>
  <c r="J751" i="1"/>
  <c r="F751" i="1"/>
  <c r="M750" i="1"/>
  <c r="J750" i="1"/>
  <c r="F750" i="1"/>
  <c r="M749" i="1"/>
  <c r="J749" i="1"/>
  <c r="F749" i="1"/>
  <c r="M748" i="1"/>
  <c r="J748" i="1"/>
  <c r="F748" i="1"/>
  <c r="M747" i="1"/>
  <c r="J747" i="1"/>
  <c r="F747" i="1"/>
  <c r="M746" i="1"/>
  <c r="J746" i="1"/>
  <c r="F746" i="1"/>
  <c r="M745" i="1"/>
  <c r="J745" i="1"/>
  <c r="F745" i="1"/>
  <c r="M744" i="1"/>
  <c r="J744" i="1"/>
  <c r="F744" i="1"/>
  <c r="M743" i="1"/>
  <c r="J743" i="1"/>
  <c r="F743" i="1"/>
  <c r="M742" i="1"/>
  <c r="J742" i="1"/>
  <c r="F742" i="1"/>
  <c r="M741" i="1"/>
  <c r="J741" i="1"/>
  <c r="F741" i="1"/>
  <c r="M740" i="1"/>
  <c r="J740" i="1"/>
  <c r="F740" i="1"/>
  <c r="M739" i="1"/>
  <c r="J739" i="1"/>
  <c r="F739" i="1"/>
  <c r="M738" i="1"/>
  <c r="J738" i="1"/>
  <c r="F738" i="1"/>
  <c r="M737" i="1"/>
  <c r="J737" i="1"/>
  <c r="F737" i="1"/>
  <c r="M736" i="1"/>
  <c r="J736" i="1"/>
  <c r="F736" i="1"/>
  <c r="M735" i="1"/>
  <c r="J735" i="1"/>
  <c r="F735" i="1"/>
  <c r="M734" i="1"/>
  <c r="J734" i="1"/>
  <c r="F734" i="1"/>
  <c r="M733" i="1"/>
  <c r="J733" i="1"/>
  <c r="F733" i="1"/>
  <c r="M732" i="1"/>
  <c r="J732" i="1"/>
  <c r="F732" i="1"/>
  <c r="M731" i="1"/>
  <c r="J731" i="1"/>
  <c r="F731" i="1"/>
  <c r="M730" i="1"/>
  <c r="J730" i="1"/>
  <c r="F730" i="1"/>
  <c r="M729" i="1"/>
  <c r="J729" i="1"/>
  <c r="F729" i="1"/>
  <c r="M728" i="1"/>
  <c r="J728" i="1"/>
  <c r="F728" i="1"/>
  <c r="M727" i="1"/>
  <c r="J727" i="1"/>
  <c r="F727" i="1"/>
  <c r="M726" i="1"/>
  <c r="J726" i="1"/>
  <c r="F726" i="1"/>
  <c r="M725" i="1"/>
  <c r="J725" i="1"/>
  <c r="F725" i="1"/>
  <c r="M724" i="1"/>
  <c r="J724" i="1"/>
  <c r="F724" i="1"/>
  <c r="M723" i="1"/>
  <c r="J723" i="1"/>
  <c r="F723" i="1"/>
  <c r="M722" i="1"/>
  <c r="J722" i="1"/>
  <c r="F722" i="1"/>
  <c r="M721" i="1"/>
  <c r="J721" i="1"/>
  <c r="F721" i="1"/>
  <c r="M720" i="1"/>
  <c r="J720" i="1"/>
  <c r="F720" i="1"/>
  <c r="M719" i="1"/>
  <c r="J719" i="1"/>
  <c r="F719" i="1"/>
  <c r="M718" i="1"/>
  <c r="J718" i="1"/>
  <c r="F718" i="1"/>
  <c r="M717" i="1"/>
  <c r="J717" i="1"/>
  <c r="F717" i="1"/>
  <c r="M716" i="1"/>
  <c r="J716" i="1"/>
  <c r="F716" i="1"/>
  <c r="M715" i="1"/>
  <c r="J715" i="1"/>
  <c r="F715" i="1"/>
  <c r="M714" i="1"/>
  <c r="J714" i="1"/>
  <c r="F714" i="1"/>
  <c r="M713" i="1"/>
  <c r="J713" i="1"/>
  <c r="F713" i="1"/>
  <c r="M712" i="1"/>
  <c r="J712" i="1"/>
  <c r="F712" i="1"/>
  <c r="M711" i="1"/>
  <c r="J711" i="1"/>
  <c r="F711" i="1"/>
  <c r="M710" i="1"/>
  <c r="J710" i="1"/>
  <c r="F710" i="1"/>
  <c r="M709" i="1"/>
  <c r="J709" i="1"/>
  <c r="F709" i="1"/>
  <c r="M708" i="1"/>
  <c r="J708" i="1"/>
  <c r="F708" i="1"/>
  <c r="M707" i="1"/>
  <c r="J707" i="1"/>
  <c r="F707" i="1"/>
  <c r="M706" i="1"/>
  <c r="J706" i="1"/>
  <c r="F706" i="1"/>
  <c r="M705" i="1"/>
  <c r="J705" i="1"/>
  <c r="F705" i="1"/>
  <c r="M704" i="1"/>
  <c r="J704" i="1"/>
  <c r="F704" i="1"/>
  <c r="M703" i="1"/>
  <c r="J703" i="1"/>
  <c r="F703" i="1"/>
  <c r="M702" i="1"/>
  <c r="J702" i="1"/>
  <c r="F702" i="1"/>
  <c r="M701" i="1"/>
  <c r="J701" i="1"/>
  <c r="F701" i="1"/>
  <c r="M700" i="1"/>
  <c r="J700" i="1"/>
  <c r="F700" i="1"/>
  <c r="M699" i="1"/>
  <c r="J699" i="1"/>
  <c r="F699" i="1"/>
  <c r="M698" i="1"/>
  <c r="J698" i="1"/>
  <c r="F698" i="1"/>
  <c r="M697" i="1"/>
  <c r="J697" i="1"/>
  <c r="F697" i="1"/>
  <c r="M696" i="1"/>
  <c r="J696" i="1"/>
  <c r="F696" i="1"/>
  <c r="M695" i="1"/>
  <c r="J695" i="1"/>
  <c r="F695" i="1"/>
  <c r="M694" i="1"/>
  <c r="J694" i="1"/>
  <c r="F694" i="1"/>
  <c r="M693" i="1"/>
  <c r="J693" i="1"/>
  <c r="F693" i="1"/>
  <c r="M692" i="1"/>
  <c r="J692" i="1"/>
  <c r="F692" i="1"/>
  <c r="M691" i="1"/>
  <c r="J691" i="1"/>
  <c r="F691" i="1"/>
  <c r="M690" i="1"/>
  <c r="J690" i="1"/>
  <c r="F690" i="1"/>
  <c r="M689" i="1"/>
  <c r="J689" i="1"/>
  <c r="F689" i="1"/>
  <c r="M688" i="1"/>
  <c r="J688" i="1"/>
  <c r="F688" i="1"/>
  <c r="M687" i="1"/>
  <c r="J687" i="1"/>
  <c r="F687" i="1"/>
  <c r="M686" i="1"/>
  <c r="J686" i="1"/>
  <c r="F686" i="1"/>
  <c r="M685" i="1"/>
  <c r="J685" i="1"/>
  <c r="F685" i="1"/>
  <c r="M684" i="1"/>
  <c r="J684" i="1"/>
  <c r="F684" i="1"/>
  <c r="M683" i="1"/>
  <c r="J683" i="1"/>
  <c r="F683" i="1"/>
  <c r="M682" i="1"/>
  <c r="J682" i="1"/>
  <c r="F682" i="1"/>
  <c r="M681" i="1"/>
  <c r="J681" i="1"/>
  <c r="F681" i="1"/>
  <c r="M680" i="1"/>
  <c r="J680" i="1"/>
  <c r="F680" i="1"/>
  <c r="M679" i="1"/>
  <c r="J679" i="1"/>
  <c r="F679" i="1"/>
  <c r="M678" i="1"/>
  <c r="J678" i="1"/>
  <c r="F678" i="1"/>
  <c r="M677" i="1"/>
  <c r="J677" i="1"/>
  <c r="F677" i="1"/>
  <c r="M676" i="1"/>
  <c r="J676" i="1"/>
  <c r="F676" i="1"/>
  <c r="M675" i="1"/>
  <c r="J675" i="1"/>
  <c r="F675" i="1"/>
  <c r="M674" i="1"/>
  <c r="J674" i="1"/>
  <c r="F674" i="1"/>
  <c r="M673" i="1"/>
  <c r="J673" i="1"/>
  <c r="F673" i="1"/>
  <c r="M672" i="1"/>
  <c r="J672" i="1"/>
  <c r="F672" i="1"/>
  <c r="M671" i="1"/>
  <c r="J671" i="1"/>
  <c r="F671" i="1"/>
  <c r="M670" i="1"/>
  <c r="J670" i="1"/>
  <c r="F670" i="1"/>
  <c r="M669" i="1"/>
  <c r="J669" i="1"/>
  <c r="F669" i="1"/>
  <c r="M668" i="1"/>
  <c r="J668" i="1"/>
  <c r="F668" i="1"/>
  <c r="M667" i="1"/>
  <c r="J667" i="1"/>
  <c r="F667" i="1"/>
  <c r="M666" i="1"/>
  <c r="J666" i="1"/>
  <c r="F666" i="1"/>
  <c r="M665" i="1"/>
  <c r="J665" i="1"/>
  <c r="F665" i="1"/>
  <c r="M664" i="1"/>
  <c r="J664" i="1"/>
  <c r="F664" i="1"/>
  <c r="M663" i="1"/>
  <c r="J663" i="1"/>
  <c r="F663" i="1"/>
  <c r="M662" i="1"/>
  <c r="J662" i="1"/>
  <c r="F662" i="1"/>
  <c r="M661" i="1"/>
  <c r="J661" i="1"/>
  <c r="F661" i="1"/>
  <c r="M660" i="1"/>
  <c r="J660" i="1"/>
  <c r="F660" i="1"/>
  <c r="M659" i="1"/>
  <c r="J659" i="1"/>
  <c r="F659" i="1"/>
  <c r="M658" i="1"/>
  <c r="J658" i="1"/>
  <c r="F658" i="1"/>
  <c r="M657" i="1"/>
  <c r="J657" i="1"/>
  <c r="F657" i="1"/>
  <c r="M656" i="1"/>
  <c r="J656" i="1"/>
  <c r="F656" i="1"/>
  <c r="M655" i="1"/>
  <c r="J655" i="1"/>
  <c r="F655" i="1"/>
  <c r="M654" i="1"/>
  <c r="J654" i="1"/>
  <c r="F654" i="1"/>
  <c r="M653" i="1"/>
  <c r="J653" i="1"/>
  <c r="F653" i="1"/>
  <c r="M652" i="1"/>
  <c r="J652" i="1"/>
  <c r="F652" i="1"/>
  <c r="M651" i="1"/>
  <c r="J651" i="1"/>
  <c r="F651" i="1"/>
  <c r="M650" i="1"/>
  <c r="J650" i="1"/>
  <c r="F650" i="1"/>
  <c r="M649" i="1"/>
  <c r="J649" i="1"/>
  <c r="F649" i="1"/>
  <c r="M648" i="1"/>
  <c r="J648" i="1"/>
  <c r="F648" i="1"/>
  <c r="M647" i="1"/>
  <c r="J647" i="1"/>
  <c r="F647" i="1"/>
  <c r="M646" i="1"/>
  <c r="J646" i="1"/>
  <c r="F646" i="1"/>
  <c r="M645" i="1"/>
  <c r="J645" i="1"/>
  <c r="F645" i="1"/>
  <c r="M644" i="1"/>
  <c r="J644" i="1"/>
  <c r="F644" i="1"/>
  <c r="M643" i="1"/>
  <c r="J643" i="1"/>
  <c r="F643" i="1"/>
  <c r="M642" i="1"/>
  <c r="J642" i="1"/>
  <c r="F642" i="1"/>
  <c r="M641" i="1"/>
  <c r="J641" i="1"/>
  <c r="F641" i="1"/>
  <c r="M640" i="1"/>
  <c r="J640" i="1"/>
  <c r="F640" i="1"/>
  <c r="M639" i="1"/>
  <c r="J639" i="1"/>
  <c r="F639" i="1"/>
  <c r="M638" i="1"/>
  <c r="J638" i="1"/>
  <c r="F638" i="1"/>
  <c r="M637" i="1"/>
  <c r="J637" i="1"/>
  <c r="F637" i="1"/>
  <c r="M636" i="1"/>
  <c r="J636" i="1"/>
  <c r="F636" i="1"/>
  <c r="M635" i="1"/>
  <c r="J635" i="1"/>
  <c r="F635" i="1"/>
  <c r="M634" i="1"/>
  <c r="J634" i="1"/>
  <c r="F634" i="1"/>
  <c r="M633" i="1"/>
  <c r="J633" i="1"/>
  <c r="F633" i="1"/>
  <c r="M632" i="1"/>
  <c r="J632" i="1"/>
  <c r="F632" i="1"/>
  <c r="M631" i="1"/>
  <c r="J631" i="1"/>
  <c r="F631" i="1"/>
  <c r="M630" i="1"/>
  <c r="J630" i="1"/>
  <c r="F630" i="1"/>
  <c r="M629" i="1"/>
  <c r="J629" i="1"/>
  <c r="F629" i="1"/>
  <c r="M628" i="1"/>
  <c r="J628" i="1"/>
  <c r="F628" i="1"/>
  <c r="M627" i="1"/>
  <c r="J627" i="1"/>
  <c r="F627" i="1"/>
  <c r="M626" i="1"/>
  <c r="J626" i="1"/>
  <c r="F626" i="1"/>
  <c r="M625" i="1"/>
  <c r="J625" i="1"/>
  <c r="F625" i="1"/>
  <c r="M624" i="1"/>
  <c r="J624" i="1"/>
  <c r="F624" i="1"/>
  <c r="M623" i="1"/>
  <c r="J623" i="1"/>
  <c r="F623" i="1"/>
  <c r="M622" i="1"/>
  <c r="J622" i="1"/>
  <c r="F622" i="1"/>
  <c r="M621" i="1"/>
  <c r="J621" i="1"/>
  <c r="F621" i="1"/>
  <c r="M620" i="1"/>
  <c r="J620" i="1"/>
  <c r="F620" i="1"/>
  <c r="M619" i="1"/>
  <c r="J619" i="1"/>
  <c r="F619" i="1"/>
  <c r="M618" i="1"/>
  <c r="J618" i="1"/>
  <c r="F618" i="1"/>
  <c r="M617" i="1"/>
  <c r="J617" i="1"/>
  <c r="F617" i="1"/>
  <c r="M616" i="1"/>
  <c r="J616" i="1"/>
  <c r="F616" i="1"/>
  <c r="M615" i="1"/>
  <c r="J615" i="1"/>
  <c r="F615" i="1"/>
  <c r="M614" i="1"/>
  <c r="J614" i="1"/>
  <c r="F614" i="1"/>
  <c r="M613" i="1"/>
  <c r="J613" i="1"/>
  <c r="F613" i="1"/>
  <c r="M612" i="1"/>
  <c r="J612" i="1"/>
  <c r="F612" i="1"/>
  <c r="M611" i="1"/>
  <c r="J611" i="1"/>
  <c r="F611" i="1"/>
  <c r="M610" i="1"/>
  <c r="J610" i="1"/>
  <c r="F610" i="1"/>
  <c r="M609" i="1"/>
  <c r="J609" i="1"/>
  <c r="F609" i="1"/>
  <c r="M608" i="1"/>
  <c r="J608" i="1"/>
  <c r="F608" i="1"/>
  <c r="M607" i="1"/>
  <c r="J607" i="1"/>
  <c r="F607" i="1"/>
  <c r="M606" i="1"/>
  <c r="J606" i="1"/>
  <c r="F606" i="1"/>
  <c r="M605" i="1"/>
  <c r="J605" i="1"/>
  <c r="F605" i="1"/>
  <c r="M604" i="1"/>
  <c r="J604" i="1"/>
  <c r="F604" i="1"/>
  <c r="M603" i="1"/>
  <c r="J603" i="1"/>
  <c r="F603" i="1"/>
  <c r="M602" i="1"/>
  <c r="J602" i="1"/>
  <c r="F602" i="1"/>
  <c r="M601" i="1"/>
  <c r="J601" i="1"/>
  <c r="F601" i="1"/>
  <c r="M600" i="1"/>
  <c r="J600" i="1"/>
  <c r="F600" i="1"/>
  <c r="M599" i="1"/>
  <c r="J599" i="1"/>
  <c r="F599" i="1"/>
  <c r="M598" i="1"/>
  <c r="J598" i="1"/>
  <c r="F598" i="1"/>
  <c r="M597" i="1"/>
  <c r="J597" i="1"/>
  <c r="F597" i="1"/>
  <c r="M596" i="1"/>
  <c r="J596" i="1"/>
  <c r="F596" i="1"/>
  <c r="M595" i="1"/>
  <c r="J595" i="1"/>
  <c r="F595" i="1"/>
  <c r="M594" i="1"/>
  <c r="J594" i="1"/>
  <c r="F594" i="1"/>
  <c r="M593" i="1"/>
  <c r="J593" i="1"/>
  <c r="F593" i="1"/>
  <c r="M592" i="1"/>
  <c r="J592" i="1"/>
  <c r="F592" i="1"/>
  <c r="M591" i="1"/>
  <c r="J591" i="1"/>
  <c r="F591" i="1"/>
  <c r="M590" i="1"/>
  <c r="J590" i="1"/>
  <c r="F590" i="1"/>
  <c r="M589" i="1"/>
  <c r="J589" i="1"/>
  <c r="F589" i="1"/>
  <c r="M588" i="1"/>
  <c r="J588" i="1"/>
  <c r="F588" i="1"/>
  <c r="M587" i="1"/>
  <c r="J587" i="1"/>
  <c r="F587" i="1"/>
  <c r="M586" i="1"/>
  <c r="J586" i="1"/>
  <c r="F586" i="1"/>
  <c r="M585" i="1"/>
  <c r="J585" i="1"/>
  <c r="F585" i="1"/>
  <c r="M584" i="1"/>
  <c r="J584" i="1"/>
  <c r="F584" i="1"/>
  <c r="M583" i="1"/>
  <c r="J583" i="1"/>
  <c r="F583" i="1"/>
  <c r="M582" i="1"/>
  <c r="J582" i="1"/>
  <c r="F582" i="1"/>
  <c r="M581" i="1"/>
  <c r="J581" i="1"/>
  <c r="F581" i="1"/>
  <c r="M580" i="1"/>
  <c r="J580" i="1"/>
  <c r="F580" i="1"/>
  <c r="M579" i="1"/>
  <c r="J579" i="1"/>
  <c r="F579" i="1"/>
  <c r="M578" i="1"/>
  <c r="J578" i="1"/>
  <c r="F578" i="1"/>
  <c r="M577" i="1"/>
  <c r="J577" i="1"/>
  <c r="F577" i="1"/>
  <c r="M576" i="1"/>
  <c r="J576" i="1"/>
  <c r="F576" i="1"/>
  <c r="M575" i="1"/>
  <c r="J575" i="1"/>
  <c r="F575" i="1"/>
  <c r="M574" i="1"/>
  <c r="J574" i="1"/>
  <c r="F574" i="1"/>
  <c r="M573" i="1"/>
  <c r="J573" i="1"/>
  <c r="F573" i="1"/>
  <c r="M572" i="1"/>
  <c r="J572" i="1"/>
  <c r="F572" i="1"/>
  <c r="M571" i="1"/>
  <c r="J571" i="1"/>
  <c r="F571" i="1"/>
  <c r="M570" i="1"/>
  <c r="J570" i="1"/>
  <c r="F570" i="1"/>
  <c r="M569" i="1"/>
  <c r="J569" i="1"/>
  <c r="F569" i="1"/>
  <c r="M568" i="1"/>
  <c r="J568" i="1"/>
  <c r="F568" i="1"/>
  <c r="M567" i="1"/>
  <c r="J567" i="1"/>
  <c r="F567" i="1"/>
  <c r="M566" i="1"/>
  <c r="J566" i="1"/>
  <c r="F566" i="1"/>
  <c r="M565" i="1"/>
  <c r="J565" i="1"/>
  <c r="F565" i="1"/>
  <c r="M564" i="1"/>
  <c r="J564" i="1"/>
  <c r="F564" i="1"/>
  <c r="M563" i="1"/>
  <c r="J563" i="1"/>
  <c r="F563" i="1"/>
  <c r="M562" i="1"/>
  <c r="J562" i="1"/>
  <c r="F562" i="1"/>
  <c r="M561" i="1"/>
  <c r="J561" i="1"/>
  <c r="F561" i="1"/>
  <c r="M560" i="1"/>
  <c r="J560" i="1"/>
  <c r="F560" i="1"/>
  <c r="M559" i="1"/>
  <c r="J559" i="1"/>
  <c r="F559" i="1"/>
  <c r="M558" i="1"/>
  <c r="J558" i="1"/>
  <c r="F558" i="1"/>
  <c r="M557" i="1"/>
  <c r="J557" i="1"/>
  <c r="F557" i="1"/>
  <c r="M556" i="1"/>
  <c r="J556" i="1"/>
  <c r="F556" i="1"/>
  <c r="M555" i="1"/>
  <c r="J555" i="1"/>
  <c r="F555" i="1"/>
  <c r="M554" i="1"/>
  <c r="J554" i="1"/>
  <c r="F554" i="1"/>
  <c r="M553" i="1"/>
  <c r="J553" i="1"/>
  <c r="F553" i="1"/>
  <c r="M552" i="1"/>
  <c r="J552" i="1"/>
  <c r="F552" i="1"/>
  <c r="M551" i="1"/>
  <c r="J551" i="1"/>
  <c r="F551" i="1"/>
  <c r="M550" i="1"/>
  <c r="J550" i="1"/>
  <c r="F550" i="1"/>
  <c r="M549" i="1"/>
  <c r="J549" i="1"/>
  <c r="F549" i="1"/>
  <c r="M548" i="1"/>
  <c r="J548" i="1"/>
  <c r="F548" i="1"/>
  <c r="M547" i="1"/>
  <c r="J547" i="1"/>
  <c r="F547" i="1"/>
  <c r="M546" i="1"/>
  <c r="J546" i="1"/>
  <c r="F546" i="1"/>
  <c r="M545" i="1"/>
  <c r="J545" i="1"/>
  <c r="F545" i="1"/>
  <c r="M544" i="1"/>
  <c r="J544" i="1"/>
  <c r="F544" i="1"/>
  <c r="M543" i="1"/>
  <c r="J543" i="1"/>
  <c r="F543" i="1"/>
  <c r="M542" i="1"/>
  <c r="J542" i="1"/>
  <c r="F542" i="1"/>
  <c r="M541" i="1"/>
  <c r="J541" i="1"/>
  <c r="F541" i="1"/>
  <c r="M540" i="1"/>
  <c r="J540" i="1"/>
  <c r="F540" i="1"/>
  <c r="M539" i="1"/>
  <c r="J539" i="1"/>
  <c r="F539" i="1"/>
  <c r="M538" i="1"/>
  <c r="J538" i="1"/>
  <c r="F538" i="1"/>
  <c r="M537" i="1"/>
  <c r="J537" i="1"/>
  <c r="F537" i="1"/>
  <c r="M536" i="1"/>
  <c r="J536" i="1"/>
  <c r="F536" i="1"/>
  <c r="M535" i="1"/>
  <c r="J535" i="1"/>
  <c r="F535" i="1"/>
  <c r="M534" i="1"/>
  <c r="J534" i="1"/>
  <c r="F534" i="1"/>
  <c r="M533" i="1"/>
  <c r="J533" i="1"/>
  <c r="F533" i="1"/>
  <c r="M532" i="1"/>
  <c r="J532" i="1"/>
  <c r="F532" i="1"/>
  <c r="M531" i="1"/>
  <c r="J531" i="1"/>
  <c r="F531" i="1"/>
  <c r="M530" i="1"/>
  <c r="J530" i="1"/>
  <c r="F530" i="1"/>
  <c r="M529" i="1"/>
  <c r="J529" i="1"/>
  <c r="F529" i="1"/>
  <c r="M528" i="1"/>
  <c r="J528" i="1"/>
  <c r="F528" i="1"/>
  <c r="M527" i="1"/>
  <c r="J527" i="1"/>
  <c r="F527" i="1"/>
  <c r="M526" i="1"/>
  <c r="J526" i="1"/>
  <c r="F526" i="1"/>
  <c r="M525" i="1"/>
  <c r="J525" i="1"/>
  <c r="F525" i="1"/>
  <c r="M524" i="1"/>
  <c r="J524" i="1"/>
  <c r="F524" i="1"/>
  <c r="M523" i="1"/>
  <c r="J523" i="1"/>
  <c r="F523" i="1"/>
  <c r="M522" i="1"/>
  <c r="J522" i="1"/>
  <c r="F522" i="1"/>
  <c r="M521" i="1"/>
  <c r="J521" i="1"/>
  <c r="F521" i="1"/>
  <c r="M520" i="1"/>
  <c r="J520" i="1"/>
  <c r="F520" i="1"/>
  <c r="M519" i="1"/>
  <c r="J519" i="1"/>
  <c r="F519" i="1"/>
  <c r="M518" i="1"/>
  <c r="J518" i="1"/>
  <c r="F518" i="1"/>
  <c r="M517" i="1"/>
  <c r="J517" i="1"/>
  <c r="F517" i="1"/>
  <c r="M516" i="1"/>
  <c r="J516" i="1"/>
  <c r="F516" i="1"/>
  <c r="M515" i="1"/>
  <c r="J515" i="1"/>
  <c r="F515" i="1"/>
  <c r="M514" i="1"/>
  <c r="J514" i="1"/>
  <c r="F514" i="1"/>
  <c r="M513" i="1"/>
  <c r="J513" i="1"/>
  <c r="F513" i="1"/>
  <c r="M512" i="1"/>
  <c r="J512" i="1"/>
  <c r="F512" i="1"/>
  <c r="M511" i="1"/>
  <c r="J511" i="1"/>
  <c r="F511" i="1"/>
  <c r="M510" i="1"/>
  <c r="J510" i="1"/>
  <c r="F510" i="1"/>
  <c r="M509" i="1"/>
  <c r="J509" i="1"/>
  <c r="F509" i="1"/>
  <c r="M508" i="1"/>
  <c r="J508" i="1"/>
  <c r="F508" i="1"/>
  <c r="M507" i="1"/>
  <c r="J507" i="1"/>
  <c r="F507" i="1"/>
  <c r="M506" i="1"/>
  <c r="J506" i="1"/>
  <c r="F506" i="1"/>
  <c r="M505" i="1"/>
  <c r="J505" i="1"/>
  <c r="F505" i="1"/>
  <c r="M504" i="1"/>
  <c r="J504" i="1"/>
  <c r="F504" i="1"/>
  <c r="M503" i="1"/>
  <c r="J503" i="1"/>
  <c r="F503" i="1"/>
  <c r="M502" i="1"/>
  <c r="J502" i="1"/>
  <c r="F502" i="1"/>
  <c r="M501" i="1"/>
  <c r="J501" i="1"/>
  <c r="F501" i="1"/>
  <c r="M500" i="1"/>
  <c r="J500" i="1"/>
  <c r="F500" i="1"/>
  <c r="M499" i="1"/>
  <c r="J499" i="1"/>
  <c r="F499" i="1"/>
  <c r="M498" i="1"/>
  <c r="J498" i="1"/>
  <c r="F498" i="1"/>
  <c r="M497" i="1"/>
  <c r="J497" i="1"/>
  <c r="F497" i="1"/>
  <c r="M496" i="1"/>
  <c r="J496" i="1"/>
  <c r="F496" i="1"/>
  <c r="M495" i="1"/>
  <c r="J495" i="1"/>
  <c r="F495" i="1"/>
  <c r="M494" i="1"/>
  <c r="J494" i="1"/>
  <c r="F494" i="1"/>
  <c r="M493" i="1"/>
  <c r="J493" i="1"/>
  <c r="F493" i="1"/>
  <c r="M492" i="1"/>
  <c r="J492" i="1"/>
  <c r="F492" i="1"/>
  <c r="M491" i="1"/>
  <c r="J491" i="1"/>
  <c r="F491" i="1"/>
  <c r="M490" i="1"/>
  <c r="J490" i="1"/>
  <c r="F490" i="1"/>
  <c r="M489" i="1"/>
  <c r="J489" i="1"/>
  <c r="F489" i="1"/>
  <c r="M488" i="1"/>
  <c r="J488" i="1"/>
  <c r="F488" i="1"/>
  <c r="M487" i="1"/>
  <c r="J487" i="1"/>
  <c r="F487" i="1"/>
  <c r="M486" i="1"/>
  <c r="J486" i="1"/>
  <c r="F486" i="1"/>
  <c r="M485" i="1"/>
  <c r="J485" i="1"/>
  <c r="F485" i="1"/>
  <c r="M484" i="1"/>
  <c r="J484" i="1"/>
  <c r="F484" i="1"/>
  <c r="M483" i="1"/>
  <c r="J483" i="1"/>
  <c r="F483" i="1"/>
  <c r="M482" i="1"/>
  <c r="J482" i="1"/>
  <c r="F482" i="1"/>
  <c r="M481" i="1"/>
  <c r="J481" i="1"/>
  <c r="F481" i="1"/>
  <c r="M480" i="1"/>
  <c r="J480" i="1"/>
  <c r="F480" i="1"/>
  <c r="M479" i="1"/>
  <c r="J479" i="1"/>
  <c r="F479" i="1"/>
  <c r="M478" i="1"/>
  <c r="J478" i="1"/>
  <c r="F478" i="1"/>
  <c r="M477" i="1"/>
  <c r="J477" i="1"/>
  <c r="F477" i="1"/>
  <c r="M476" i="1"/>
  <c r="J476" i="1"/>
  <c r="F476" i="1"/>
  <c r="M475" i="1"/>
  <c r="J475" i="1"/>
  <c r="F475" i="1"/>
  <c r="M474" i="1"/>
  <c r="J474" i="1"/>
  <c r="F474" i="1"/>
  <c r="M473" i="1"/>
  <c r="J473" i="1"/>
  <c r="F473" i="1"/>
  <c r="M472" i="1"/>
  <c r="J472" i="1"/>
  <c r="F472" i="1"/>
  <c r="M471" i="1"/>
  <c r="J471" i="1"/>
  <c r="F471" i="1"/>
  <c r="M470" i="1"/>
  <c r="J470" i="1"/>
  <c r="F470" i="1"/>
  <c r="M469" i="1"/>
  <c r="J469" i="1"/>
  <c r="F469" i="1"/>
  <c r="M468" i="1"/>
  <c r="J468" i="1"/>
  <c r="F468" i="1"/>
  <c r="M467" i="1"/>
  <c r="J467" i="1"/>
  <c r="F467" i="1"/>
  <c r="M466" i="1"/>
  <c r="J466" i="1"/>
  <c r="F466" i="1"/>
  <c r="M465" i="1"/>
  <c r="J465" i="1"/>
  <c r="F465" i="1"/>
  <c r="M464" i="1"/>
  <c r="J464" i="1"/>
  <c r="F464" i="1"/>
  <c r="M463" i="1"/>
  <c r="J463" i="1"/>
  <c r="F463" i="1"/>
  <c r="M462" i="1"/>
  <c r="J462" i="1"/>
  <c r="F462" i="1"/>
  <c r="M461" i="1"/>
  <c r="J461" i="1"/>
  <c r="F461" i="1"/>
  <c r="M460" i="1"/>
  <c r="J460" i="1"/>
  <c r="F460" i="1"/>
  <c r="M459" i="1"/>
  <c r="J459" i="1"/>
  <c r="F459" i="1"/>
  <c r="M458" i="1"/>
  <c r="J458" i="1"/>
  <c r="F458" i="1"/>
  <c r="M457" i="1"/>
  <c r="J457" i="1"/>
  <c r="F457" i="1"/>
  <c r="M456" i="1"/>
  <c r="J456" i="1"/>
  <c r="F456" i="1"/>
  <c r="M455" i="1"/>
  <c r="J455" i="1"/>
  <c r="F455" i="1"/>
  <c r="M454" i="1"/>
  <c r="J454" i="1"/>
  <c r="F454" i="1"/>
  <c r="M453" i="1"/>
  <c r="J453" i="1"/>
  <c r="F453" i="1"/>
  <c r="M452" i="1"/>
  <c r="J452" i="1"/>
  <c r="F452" i="1"/>
  <c r="M451" i="1"/>
  <c r="J451" i="1"/>
  <c r="F451" i="1"/>
  <c r="M450" i="1"/>
  <c r="J450" i="1"/>
  <c r="F450" i="1"/>
  <c r="M449" i="1"/>
  <c r="J449" i="1"/>
  <c r="F449" i="1"/>
  <c r="M448" i="1"/>
  <c r="J448" i="1"/>
  <c r="F448" i="1"/>
  <c r="M447" i="1"/>
  <c r="J447" i="1"/>
  <c r="F447" i="1"/>
  <c r="M446" i="1"/>
  <c r="J446" i="1"/>
  <c r="F446" i="1"/>
  <c r="M445" i="1"/>
  <c r="J445" i="1"/>
  <c r="F445" i="1"/>
  <c r="M444" i="1"/>
  <c r="J444" i="1"/>
  <c r="F444" i="1"/>
  <c r="M443" i="1"/>
  <c r="J443" i="1"/>
  <c r="F443" i="1"/>
  <c r="M442" i="1"/>
  <c r="J442" i="1"/>
  <c r="F442" i="1"/>
  <c r="M441" i="1"/>
  <c r="J441" i="1"/>
  <c r="F441" i="1"/>
  <c r="M440" i="1"/>
  <c r="J440" i="1"/>
  <c r="F440" i="1"/>
  <c r="M439" i="1"/>
  <c r="J439" i="1"/>
  <c r="F439" i="1"/>
  <c r="M438" i="1"/>
  <c r="J438" i="1"/>
  <c r="F438" i="1"/>
  <c r="M437" i="1"/>
  <c r="J437" i="1"/>
  <c r="F437" i="1"/>
  <c r="M436" i="1"/>
  <c r="J436" i="1"/>
  <c r="F436" i="1"/>
  <c r="M435" i="1"/>
  <c r="J435" i="1"/>
  <c r="F435" i="1"/>
  <c r="M434" i="1"/>
  <c r="J434" i="1"/>
  <c r="F434" i="1"/>
  <c r="M433" i="1"/>
  <c r="J433" i="1"/>
  <c r="F433" i="1"/>
  <c r="M432" i="1"/>
  <c r="J432" i="1"/>
  <c r="F432" i="1"/>
  <c r="M431" i="1"/>
  <c r="J431" i="1"/>
  <c r="F431" i="1"/>
  <c r="M430" i="1"/>
  <c r="J430" i="1"/>
  <c r="F430" i="1"/>
  <c r="M429" i="1"/>
  <c r="J429" i="1"/>
  <c r="F429" i="1"/>
  <c r="M428" i="1"/>
  <c r="J428" i="1"/>
  <c r="F428" i="1"/>
  <c r="M427" i="1"/>
  <c r="J427" i="1"/>
  <c r="F427" i="1"/>
  <c r="M426" i="1"/>
  <c r="J426" i="1"/>
  <c r="F426" i="1"/>
  <c r="M425" i="1"/>
  <c r="J425" i="1"/>
  <c r="F425" i="1"/>
  <c r="M424" i="1"/>
  <c r="J424" i="1"/>
  <c r="F424" i="1"/>
  <c r="M423" i="1"/>
  <c r="J423" i="1"/>
  <c r="F423" i="1"/>
  <c r="M422" i="1"/>
  <c r="J422" i="1"/>
  <c r="F422" i="1"/>
  <c r="M421" i="1"/>
  <c r="J421" i="1"/>
  <c r="F421" i="1"/>
  <c r="M420" i="1"/>
  <c r="J420" i="1"/>
  <c r="F420" i="1"/>
  <c r="M419" i="1"/>
  <c r="J419" i="1"/>
  <c r="F419" i="1"/>
  <c r="M418" i="1"/>
  <c r="J418" i="1"/>
  <c r="F418" i="1"/>
  <c r="M417" i="1"/>
  <c r="J417" i="1"/>
  <c r="F417" i="1"/>
  <c r="M416" i="1"/>
  <c r="J416" i="1"/>
  <c r="F416" i="1"/>
  <c r="M415" i="1"/>
  <c r="J415" i="1"/>
  <c r="F415" i="1"/>
  <c r="M414" i="1"/>
  <c r="J414" i="1"/>
  <c r="F414" i="1"/>
  <c r="M413" i="1"/>
  <c r="J413" i="1"/>
  <c r="F413" i="1"/>
  <c r="M412" i="1"/>
  <c r="J412" i="1"/>
  <c r="F412" i="1"/>
  <c r="M411" i="1"/>
  <c r="J411" i="1"/>
  <c r="F411" i="1"/>
  <c r="M410" i="1"/>
  <c r="J410" i="1"/>
  <c r="F410" i="1"/>
  <c r="M409" i="1"/>
  <c r="J409" i="1"/>
  <c r="F409" i="1"/>
  <c r="M408" i="1"/>
  <c r="J408" i="1"/>
  <c r="F408" i="1"/>
  <c r="M407" i="1"/>
  <c r="J407" i="1"/>
  <c r="F407" i="1"/>
  <c r="M406" i="1"/>
  <c r="J406" i="1"/>
  <c r="F406" i="1"/>
  <c r="M405" i="1"/>
  <c r="J405" i="1"/>
  <c r="F405" i="1"/>
  <c r="M404" i="1"/>
  <c r="J404" i="1"/>
  <c r="F404" i="1"/>
  <c r="M403" i="1"/>
  <c r="J403" i="1"/>
  <c r="F403" i="1"/>
  <c r="M402" i="1"/>
  <c r="J402" i="1"/>
  <c r="F402" i="1"/>
  <c r="M401" i="1"/>
  <c r="J401" i="1"/>
  <c r="F401" i="1"/>
  <c r="M400" i="1"/>
  <c r="J400" i="1"/>
  <c r="F400" i="1"/>
  <c r="M399" i="1"/>
  <c r="J399" i="1"/>
  <c r="F399" i="1"/>
  <c r="M398" i="1"/>
  <c r="J398" i="1"/>
  <c r="F398" i="1"/>
  <c r="M397" i="1"/>
  <c r="J397" i="1"/>
  <c r="F397" i="1"/>
  <c r="M396" i="1"/>
  <c r="J396" i="1"/>
  <c r="F396" i="1"/>
  <c r="M395" i="1"/>
  <c r="J395" i="1"/>
  <c r="F395" i="1"/>
  <c r="M394" i="1"/>
  <c r="J394" i="1"/>
  <c r="F394" i="1"/>
  <c r="M393" i="1"/>
  <c r="J393" i="1"/>
  <c r="F393" i="1"/>
  <c r="M392" i="1"/>
  <c r="J392" i="1"/>
  <c r="F392" i="1"/>
  <c r="M391" i="1"/>
  <c r="J391" i="1"/>
  <c r="F391" i="1"/>
  <c r="M390" i="1"/>
  <c r="J390" i="1"/>
  <c r="F390" i="1"/>
  <c r="M389" i="1"/>
  <c r="J389" i="1"/>
  <c r="F389" i="1"/>
  <c r="M388" i="1"/>
  <c r="J388" i="1"/>
  <c r="F388" i="1"/>
  <c r="M387" i="1"/>
  <c r="J387" i="1"/>
  <c r="F387" i="1"/>
  <c r="M386" i="1"/>
  <c r="J386" i="1"/>
  <c r="F386" i="1"/>
  <c r="M385" i="1"/>
  <c r="J385" i="1"/>
  <c r="F385" i="1"/>
  <c r="M384" i="1"/>
  <c r="J384" i="1"/>
  <c r="F384" i="1"/>
  <c r="M383" i="1"/>
  <c r="J383" i="1"/>
  <c r="F383" i="1"/>
  <c r="M382" i="1"/>
  <c r="J382" i="1"/>
  <c r="F382" i="1"/>
  <c r="M381" i="1"/>
  <c r="J381" i="1"/>
  <c r="F381" i="1"/>
  <c r="M380" i="1"/>
  <c r="J380" i="1"/>
  <c r="F380" i="1"/>
  <c r="M379" i="1"/>
  <c r="J379" i="1"/>
  <c r="F379" i="1"/>
  <c r="M378" i="1"/>
  <c r="J378" i="1"/>
  <c r="F378" i="1"/>
  <c r="M377" i="1"/>
  <c r="J377" i="1"/>
  <c r="F377" i="1"/>
  <c r="M376" i="1"/>
  <c r="J376" i="1"/>
  <c r="F376" i="1"/>
  <c r="M375" i="1"/>
  <c r="J375" i="1"/>
  <c r="F375" i="1"/>
  <c r="M374" i="1"/>
  <c r="J374" i="1"/>
  <c r="F374" i="1"/>
  <c r="M373" i="1"/>
  <c r="J373" i="1"/>
  <c r="F373" i="1"/>
  <c r="M372" i="1"/>
  <c r="J372" i="1"/>
  <c r="F372" i="1"/>
  <c r="M371" i="1"/>
  <c r="J371" i="1"/>
  <c r="F371" i="1"/>
  <c r="M370" i="1"/>
  <c r="J370" i="1"/>
  <c r="F370" i="1"/>
  <c r="M369" i="1"/>
  <c r="J369" i="1"/>
  <c r="F369" i="1"/>
  <c r="M368" i="1"/>
  <c r="J368" i="1"/>
  <c r="F368" i="1"/>
  <c r="M367" i="1"/>
  <c r="J367" i="1"/>
  <c r="F367" i="1"/>
  <c r="M366" i="1"/>
  <c r="J366" i="1"/>
  <c r="F366" i="1"/>
  <c r="M365" i="1"/>
  <c r="J365" i="1"/>
  <c r="F365" i="1"/>
  <c r="M364" i="1"/>
  <c r="J364" i="1"/>
  <c r="F364" i="1"/>
  <c r="M363" i="1"/>
  <c r="J363" i="1"/>
  <c r="F363" i="1"/>
  <c r="M362" i="1"/>
  <c r="J362" i="1"/>
  <c r="F362" i="1"/>
  <c r="M361" i="1"/>
  <c r="J361" i="1"/>
  <c r="F361" i="1"/>
  <c r="M360" i="1"/>
  <c r="J360" i="1"/>
  <c r="F360" i="1"/>
  <c r="M359" i="1"/>
  <c r="J359" i="1"/>
  <c r="F359" i="1"/>
  <c r="M358" i="1"/>
  <c r="J358" i="1"/>
  <c r="F358" i="1"/>
  <c r="M357" i="1"/>
  <c r="J357" i="1"/>
  <c r="F357" i="1"/>
  <c r="M356" i="1"/>
  <c r="J356" i="1"/>
  <c r="F356" i="1"/>
  <c r="M355" i="1"/>
  <c r="J355" i="1"/>
  <c r="F355" i="1"/>
  <c r="M354" i="1"/>
  <c r="J354" i="1"/>
  <c r="F354" i="1"/>
  <c r="M353" i="1"/>
  <c r="J353" i="1"/>
  <c r="F353" i="1"/>
  <c r="M352" i="1"/>
  <c r="J352" i="1"/>
  <c r="F352" i="1"/>
  <c r="M351" i="1"/>
  <c r="J351" i="1"/>
  <c r="F351" i="1"/>
  <c r="M350" i="1"/>
  <c r="J350" i="1"/>
  <c r="F350" i="1"/>
  <c r="M349" i="1"/>
  <c r="J349" i="1"/>
  <c r="F349" i="1"/>
  <c r="M348" i="1"/>
  <c r="J348" i="1"/>
  <c r="F348" i="1"/>
  <c r="M347" i="1"/>
  <c r="J347" i="1"/>
  <c r="F347" i="1"/>
  <c r="M346" i="1"/>
  <c r="J346" i="1"/>
  <c r="F346" i="1"/>
  <c r="M345" i="1"/>
  <c r="J345" i="1"/>
  <c r="F345" i="1"/>
  <c r="M344" i="1"/>
  <c r="J344" i="1"/>
  <c r="F344" i="1"/>
  <c r="M343" i="1"/>
  <c r="J343" i="1"/>
  <c r="F343" i="1"/>
  <c r="M342" i="1"/>
  <c r="J342" i="1"/>
  <c r="F342" i="1"/>
  <c r="M341" i="1"/>
  <c r="J341" i="1"/>
  <c r="F341" i="1"/>
  <c r="M340" i="1"/>
  <c r="J340" i="1"/>
  <c r="F340" i="1"/>
  <c r="M339" i="1"/>
  <c r="J339" i="1"/>
  <c r="F339" i="1"/>
  <c r="M338" i="1"/>
  <c r="J338" i="1"/>
  <c r="F338" i="1"/>
  <c r="M337" i="1"/>
  <c r="J337" i="1"/>
  <c r="F337" i="1"/>
  <c r="M336" i="1"/>
  <c r="J336" i="1"/>
  <c r="F336" i="1"/>
  <c r="M335" i="1"/>
  <c r="J335" i="1"/>
  <c r="F335" i="1"/>
  <c r="M334" i="1"/>
  <c r="J334" i="1"/>
  <c r="F334" i="1"/>
  <c r="M333" i="1"/>
  <c r="J333" i="1"/>
  <c r="F333" i="1"/>
  <c r="M332" i="1"/>
  <c r="J332" i="1"/>
  <c r="F332" i="1"/>
  <c r="M331" i="1"/>
  <c r="J331" i="1"/>
  <c r="F331" i="1"/>
  <c r="M330" i="1"/>
  <c r="J330" i="1"/>
  <c r="F330" i="1"/>
  <c r="M329" i="1"/>
  <c r="J329" i="1"/>
  <c r="F329" i="1"/>
  <c r="M328" i="1"/>
  <c r="J328" i="1"/>
  <c r="F328" i="1"/>
  <c r="M327" i="1"/>
  <c r="J327" i="1"/>
  <c r="F327" i="1"/>
  <c r="M326" i="1"/>
  <c r="J326" i="1"/>
  <c r="F326" i="1"/>
  <c r="M325" i="1"/>
  <c r="J325" i="1"/>
  <c r="F325" i="1"/>
  <c r="M324" i="1"/>
  <c r="J324" i="1"/>
  <c r="F324" i="1"/>
  <c r="M323" i="1"/>
  <c r="J323" i="1"/>
  <c r="F323" i="1"/>
  <c r="M322" i="1"/>
  <c r="J322" i="1"/>
  <c r="F322" i="1"/>
  <c r="M321" i="1"/>
  <c r="J321" i="1"/>
  <c r="F321" i="1"/>
  <c r="M320" i="1"/>
  <c r="J320" i="1"/>
  <c r="F320" i="1"/>
  <c r="M319" i="1"/>
  <c r="J319" i="1"/>
  <c r="F319" i="1"/>
  <c r="M318" i="1"/>
  <c r="J318" i="1"/>
  <c r="F318" i="1"/>
  <c r="M317" i="1"/>
  <c r="J317" i="1"/>
  <c r="F317" i="1"/>
  <c r="M316" i="1"/>
  <c r="J316" i="1"/>
  <c r="F316" i="1"/>
  <c r="M315" i="1"/>
  <c r="J315" i="1"/>
  <c r="F315" i="1"/>
  <c r="M314" i="1"/>
  <c r="J314" i="1"/>
  <c r="F314" i="1"/>
  <c r="M313" i="1"/>
  <c r="J313" i="1"/>
  <c r="F313" i="1"/>
  <c r="M312" i="1"/>
  <c r="J312" i="1"/>
  <c r="F312" i="1"/>
  <c r="M311" i="1"/>
  <c r="J311" i="1"/>
  <c r="F311" i="1"/>
  <c r="M310" i="1"/>
  <c r="J310" i="1"/>
  <c r="F310" i="1"/>
  <c r="M309" i="1"/>
  <c r="J309" i="1"/>
  <c r="F309" i="1"/>
  <c r="M308" i="1"/>
  <c r="J308" i="1"/>
  <c r="F308" i="1"/>
  <c r="M307" i="1"/>
  <c r="J307" i="1"/>
  <c r="F307" i="1"/>
  <c r="M306" i="1"/>
  <c r="J306" i="1"/>
  <c r="F306" i="1"/>
  <c r="M305" i="1"/>
  <c r="J305" i="1"/>
  <c r="F305" i="1"/>
  <c r="M304" i="1"/>
  <c r="J304" i="1"/>
  <c r="F304" i="1"/>
  <c r="M303" i="1"/>
  <c r="J303" i="1"/>
  <c r="F303" i="1"/>
  <c r="M302" i="1"/>
  <c r="J302" i="1"/>
  <c r="F302" i="1"/>
  <c r="M301" i="1"/>
  <c r="J301" i="1"/>
  <c r="F301" i="1"/>
  <c r="M300" i="1"/>
  <c r="J300" i="1"/>
  <c r="F300" i="1"/>
  <c r="M299" i="1"/>
  <c r="J299" i="1"/>
  <c r="F299" i="1"/>
  <c r="M298" i="1"/>
  <c r="J298" i="1"/>
  <c r="F298" i="1"/>
  <c r="M297" i="1"/>
  <c r="J297" i="1"/>
  <c r="F297" i="1"/>
  <c r="M296" i="1"/>
  <c r="J296" i="1"/>
  <c r="F296" i="1"/>
  <c r="M295" i="1"/>
  <c r="J295" i="1"/>
  <c r="F295" i="1"/>
  <c r="M294" i="1"/>
  <c r="J294" i="1"/>
  <c r="F294" i="1"/>
  <c r="M293" i="1"/>
  <c r="J293" i="1"/>
  <c r="F293" i="1"/>
  <c r="M292" i="1"/>
  <c r="J292" i="1"/>
  <c r="F292" i="1"/>
  <c r="M291" i="1"/>
  <c r="J291" i="1"/>
  <c r="F291" i="1"/>
  <c r="M290" i="1"/>
  <c r="J290" i="1"/>
  <c r="F290" i="1"/>
  <c r="M289" i="1"/>
  <c r="J289" i="1"/>
  <c r="F289" i="1"/>
  <c r="M288" i="1"/>
  <c r="J288" i="1"/>
  <c r="F288" i="1"/>
  <c r="M287" i="1"/>
  <c r="J287" i="1"/>
  <c r="F287" i="1"/>
  <c r="M286" i="1"/>
  <c r="J286" i="1"/>
  <c r="F286" i="1"/>
  <c r="M285" i="1"/>
  <c r="J285" i="1"/>
  <c r="F285" i="1"/>
  <c r="M284" i="1"/>
  <c r="J284" i="1"/>
  <c r="F284" i="1"/>
  <c r="M283" i="1"/>
  <c r="J283" i="1"/>
  <c r="F283" i="1"/>
  <c r="M282" i="1"/>
  <c r="J282" i="1"/>
  <c r="F282" i="1"/>
  <c r="M281" i="1"/>
  <c r="J281" i="1"/>
  <c r="F281" i="1"/>
  <c r="M280" i="1"/>
  <c r="J280" i="1"/>
  <c r="F280" i="1"/>
  <c r="M279" i="1"/>
  <c r="J279" i="1"/>
  <c r="F279" i="1"/>
  <c r="M278" i="1"/>
  <c r="J278" i="1"/>
  <c r="F278" i="1"/>
  <c r="M277" i="1"/>
  <c r="J277" i="1"/>
  <c r="F277" i="1"/>
  <c r="M276" i="1"/>
  <c r="J276" i="1"/>
  <c r="F276" i="1"/>
  <c r="M275" i="1"/>
  <c r="J275" i="1"/>
  <c r="F275" i="1"/>
  <c r="M274" i="1"/>
  <c r="J274" i="1"/>
  <c r="F274" i="1"/>
  <c r="M273" i="1"/>
  <c r="J273" i="1"/>
  <c r="F273" i="1"/>
  <c r="M272" i="1"/>
  <c r="J272" i="1"/>
  <c r="F272" i="1"/>
  <c r="M271" i="1"/>
  <c r="J271" i="1"/>
  <c r="F271" i="1"/>
  <c r="M270" i="1"/>
  <c r="J270" i="1"/>
  <c r="F270" i="1"/>
  <c r="M269" i="1"/>
  <c r="J269" i="1"/>
  <c r="F269" i="1"/>
  <c r="M268" i="1"/>
  <c r="J268" i="1"/>
  <c r="F268" i="1"/>
  <c r="M267" i="1"/>
  <c r="J267" i="1"/>
  <c r="F267" i="1"/>
  <c r="M266" i="1"/>
  <c r="J266" i="1"/>
  <c r="F266" i="1"/>
  <c r="M265" i="1"/>
  <c r="J265" i="1"/>
  <c r="F265" i="1"/>
  <c r="M264" i="1"/>
  <c r="J264" i="1"/>
  <c r="F264" i="1"/>
  <c r="M263" i="1"/>
  <c r="J263" i="1"/>
  <c r="F263" i="1"/>
  <c r="M262" i="1"/>
  <c r="J262" i="1"/>
  <c r="F262" i="1"/>
  <c r="M261" i="1"/>
  <c r="J261" i="1"/>
  <c r="F261" i="1"/>
  <c r="M260" i="1"/>
  <c r="J260" i="1"/>
  <c r="F260" i="1"/>
  <c r="M259" i="1"/>
  <c r="J259" i="1"/>
  <c r="F259" i="1"/>
  <c r="M258" i="1"/>
  <c r="J258" i="1"/>
  <c r="F258" i="1"/>
  <c r="M257" i="1"/>
  <c r="J257" i="1"/>
  <c r="F257" i="1"/>
  <c r="M256" i="1"/>
  <c r="J256" i="1"/>
  <c r="F256" i="1"/>
  <c r="M255" i="1"/>
  <c r="J255" i="1"/>
  <c r="F255" i="1"/>
  <c r="M254" i="1"/>
  <c r="J254" i="1"/>
  <c r="F254" i="1"/>
  <c r="M253" i="1"/>
  <c r="J253" i="1"/>
  <c r="F253" i="1"/>
  <c r="M252" i="1"/>
  <c r="J252" i="1"/>
  <c r="F252" i="1"/>
  <c r="M251" i="1"/>
  <c r="J251" i="1"/>
  <c r="F251" i="1"/>
  <c r="M250" i="1"/>
  <c r="J250" i="1"/>
  <c r="F250" i="1"/>
  <c r="M249" i="1"/>
  <c r="J249" i="1"/>
  <c r="F249" i="1"/>
  <c r="M248" i="1"/>
  <c r="J248" i="1"/>
  <c r="F248" i="1"/>
  <c r="M247" i="1"/>
  <c r="J247" i="1"/>
  <c r="F247" i="1"/>
  <c r="M246" i="1"/>
  <c r="J246" i="1"/>
  <c r="F246" i="1"/>
  <c r="M245" i="1"/>
  <c r="J245" i="1"/>
  <c r="F245" i="1"/>
  <c r="M244" i="1"/>
  <c r="J244" i="1"/>
  <c r="F244" i="1"/>
  <c r="M243" i="1"/>
  <c r="J243" i="1"/>
  <c r="F243" i="1"/>
  <c r="M242" i="1"/>
  <c r="J242" i="1"/>
  <c r="F242" i="1"/>
  <c r="M241" i="1"/>
  <c r="J241" i="1"/>
  <c r="F241" i="1"/>
  <c r="M240" i="1"/>
  <c r="J240" i="1"/>
  <c r="F240" i="1"/>
  <c r="M239" i="1"/>
  <c r="J239" i="1"/>
  <c r="F239" i="1"/>
  <c r="M238" i="1"/>
  <c r="J238" i="1"/>
  <c r="F238" i="1"/>
  <c r="M237" i="1"/>
  <c r="J237" i="1"/>
  <c r="F237" i="1"/>
  <c r="M236" i="1"/>
  <c r="J236" i="1"/>
  <c r="F236" i="1"/>
  <c r="M235" i="1"/>
  <c r="J235" i="1"/>
  <c r="F235" i="1"/>
  <c r="M234" i="1"/>
  <c r="J234" i="1"/>
  <c r="F234" i="1"/>
  <c r="M233" i="1"/>
  <c r="J233" i="1"/>
  <c r="F233" i="1"/>
  <c r="M232" i="1"/>
  <c r="J232" i="1"/>
  <c r="F232" i="1"/>
  <c r="M231" i="1"/>
  <c r="J231" i="1"/>
  <c r="F231" i="1"/>
  <c r="M230" i="1"/>
  <c r="J230" i="1"/>
  <c r="F230" i="1"/>
  <c r="M229" i="1"/>
  <c r="J229" i="1"/>
  <c r="F229" i="1"/>
  <c r="M228" i="1"/>
  <c r="J228" i="1"/>
  <c r="F228" i="1"/>
  <c r="M227" i="1"/>
  <c r="J227" i="1"/>
  <c r="F227" i="1"/>
  <c r="M226" i="1"/>
  <c r="J226" i="1"/>
  <c r="F226" i="1"/>
  <c r="M225" i="1"/>
  <c r="J225" i="1"/>
  <c r="F225" i="1"/>
  <c r="M224" i="1"/>
  <c r="J224" i="1"/>
  <c r="F224" i="1"/>
  <c r="M223" i="1"/>
  <c r="J223" i="1"/>
  <c r="F223" i="1"/>
  <c r="M222" i="1"/>
  <c r="J222" i="1"/>
  <c r="F222" i="1"/>
  <c r="M221" i="1"/>
  <c r="J221" i="1"/>
  <c r="F221" i="1"/>
  <c r="M220" i="1"/>
  <c r="J220" i="1"/>
  <c r="F220" i="1"/>
  <c r="M219" i="1"/>
  <c r="J219" i="1"/>
  <c r="F219" i="1"/>
  <c r="M218" i="1"/>
  <c r="J218" i="1"/>
  <c r="F218" i="1"/>
  <c r="M217" i="1"/>
  <c r="J217" i="1"/>
  <c r="F217" i="1"/>
  <c r="M216" i="1"/>
  <c r="J216" i="1"/>
  <c r="F216" i="1"/>
  <c r="M215" i="1"/>
  <c r="J215" i="1"/>
  <c r="F215" i="1"/>
  <c r="M214" i="1"/>
  <c r="J214" i="1"/>
  <c r="F214" i="1"/>
  <c r="M213" i="1"/>
  <c r="J213" i="1"/>
  <c r="F213" i="1"/>
  <c r="M212" i="1"/>
  <c r="J212" i="1"/>
  <c r="F212" i="1"/>
  <c r="M211" i="1"/>
  <c r="J211" i="1"/>
  <c r="F211" i="1"/>
  <c r="M210" i="1"/>
  <c r="J210" i="1"/>
  <c r="F210" i="1"/>
  <c r="M209" i="1"/>
  <c r="J209" i="1"/>
  <c r="F209" i="1"/>
  <c r="M208" i="1"/>
  <c r="J208" i="1"/>
  <c r="F208" i="1"/>
  <c r="M207" i="1"/>
  <c r="J207" i="1"/>
  <c r="F207" i="1"/>
  <c r="M206" i="1"/>
  <c r="J206" i="1"/>
  <c r="F206" i="1"/>
  <c r="M205" i="1"/>
  <c r="J205" i="1"/>
  <c r="F205" i="1"/>
  <c r="M204" i="1"/>
  <c r="J204" i="1"/>
  <c r="F204" i="1"/>
  <c r="M203" i="1"/>
  <c r="J203" i="1"/>
  <c r="F203" i="1"/>
  <c r="M202" i="1"/>
  <c r="J202" i="1"/>
  <c r="F202" i="1"/>
  <c r="M201" i="1"/>
  <c r="J201" i="1"/>
  <c r="F201" i="1"/>
  <c r="M200" i="1"/>
  <c r="J200" i="1"/>
  <c r="F200" i="1"/>
  <c r="M199" i="1"/>
  <c r="J199" i="1"/>
  <c r="F199" i="1"/>
  <c r="M198" i="1"/>
  <c r="J198" i="1"/>
  <c r="F198" i="1"/>
  <c r="M197" i="1"/>
  <c r="J197" i="1"/>
  <c r="F197" i="1"/>
  <c r="M196" i="1"/>
  <c r="J196" i="1"/>
  <c r="F196" i="1"/>
  <c r="M195" i="1"/>
  <c r="J195" i="1"/>
  <c r="F195" i="1"/>
  <c r="M194" i="1"/>
  <c r="J194" i="1"/>
  <c r="F194" i="1"/>
  <c r="M193" i="1"/>
  <c r="J193" i="1"/>
  <c r="F193" i="1"/>
  <c r="M192" i="1"/>
  <c r="J192" i="1"/>
  <c r="F192" i="1"/>
  <c r="M191" i="1"/>
  <c r="J191" i="1"/>
  <c r="F191" i="1"/>
  <c r="M190" i="1"/>
  <c r="J190" i="1"/>
  <c r="F190" i="1"/>
  <c r="M189" i="1"/>
  <c r="J189" i="1"/>
  <c r="F189" i="1"/>
  <c r="M188" i="1"/>
  <c r="J188" i="1"/>
  <c r="F188" i="1"/>
  <c r="M187" i="1"/>
  <c r="J187" i="1"/>
  <c r="F187" i="1"/>
  <c r="M186" i="1"/>
  <c r="J186" i="1"/>
  <c r="F186" i="1"/>
  <c r="M185" i="1"/>
  <c r="J185" i="1"/>
  <c r="F185" i="1"/>
  <c r="M184" i="1"/>
  <c r="J184" i="1"/>
  <c r="F184" i="1"/>
  <c r="M183" i="1"/>
  <c r="J183" i="1"/>
  <c r="F183" i="1"/>
  <c r="M182" i="1"/>
  <c r="J182" i="1"/>
  <c r="F182" i="1"/>
  <c r="M181" i="1"/>
  <c r="J181" i="1"/>
  <c r="F181" i="1"/>
  <c r="M180" i="1"/>
  <c r="J180" i="1"/>
  <c r="F180" i="1"/>
  <c r="M179" i="1"/>
  <c r="J179" i="1"/>
  <c r="F179" i="1"/>
  <c r="M178" i="1"/>
  <c r="J178" i="1"/>
  <c r="F178" i="1"/>
  <c r="M177" i="1"/>
  <c r="J177" i="1"/>
  <c r="F177" i="1"/>
  <c r="M176" i="1"/>
  <c r="J176" i="1"/>
  <c r="F176" i="1"/>
  <c r="M175" i="1"/>
  <c r="J175" i="1"/>
  <c r="F175" i="1"/>
  <c r="M174" i="1"/>
  <c r="J174" i="1"/>
  <c r="F174" i="1"/>
  <c r="M173" i="1"/>
  <c r="J173" i="1"/>
  <c r="F173" i="1"/>
  <c r="M172" i="1"/>
  <c r="J172" i="1"/>
  <c r="F172" i="1"/>
  <c r="M171" i="1"/>
  <c r="J171" i="1"/>
  <c r="F171" i="1"/>
  <c r="M170" i="1"/>
  <c r="J170" i="1"/>
  <c r="F170" i="1"/>
  <c r="M169" i="1"/>
  <c r="J169" i="1"/>
  <c r="F169" i="1"/>
  <c r="M168" i="1"/>
  <c r="J168" i="1"/>
  <c r="F168" i="1"/>
  <c r="M167" i="1"/>
  <c r="J167" i="1"/>
  <c r="F167" i="1"/>
  <c r="M166" i="1"/>
  <c r="J166" i="1"/>
  <c r="F166" i="1"/>
  <c r="M165" i="1"/>
  <c r="J165" i="1"/>
  <c r="F165" i="1"/>
  <c r="M164" i="1"/>
  <c r="J164" i="1"/>
  <c r="F164" i="1"/>
  <c r="M163" i="1"/>
  <c r="J163" i="1"/>
  <c r="F163" i="1"/>
  <c r="M162" i="1"/>
  <c r="J162" i="1"/>
  <c r="F162" i="1"/>
  <c r="M161" i="1"/>
  <c r="J161" i="1"/>
  <c r="F161" i="1"/>
  <c r="M160" i="1"/>
  <c r="J160" i="1"/>
  <c r="F160" i="1"/>
  <c r="M159" i="1"/>
  <c r="J159" i="1"/>
  <c r="F159" i="1"/>
  <c r="M158" i="1"/>
  <c r="J158" i="1"/>
  <c r="F158" i="1"/>
  <c r="M157" i="1"/>
  <c r="J157" i="1"/>
  <c r="F157" i="1"/>
  <c r="M156" i="1"/>
  <c r="J156" i="1"/>
  <c r="F156" i="1"/>
  <c r="M155" i="1"/>
  <c r="J155" i="1"/>
  <c r="F155" i="1"/>
  <c r="M154" i="1"/>
  <c r="J154" i="1"/>
  <c r="F154" i="1"/>
  <c r="M153" i="1"/>
  <c r="J153" i="1"/>
  <c r="F153" i="1"/>
  <c r="M152" i="1"/>
  <c r="J152" i="1"/>
  <c r="F152" i="1"/>
  <c r="M151" i="1"/>
  <c r="J151" i="1"/>
  <c r="F151" i="1"/>
  <c r="M150" i="1"/>
  <c r="J150" i="1"/>
  <c r="F150" i="1"/>
  <c r="M149" i="1"/>
  <c r="J149" i="1"/>
  <c r="F149" i="1"/>
  <c r="M148" i="1"/>
  <c r="J148" i="1"/>
  <c r="F148" i="1"/>
  <c r="M147" i="1"/>
  <c r="J147" i="1"/>
  <c r="F147" i="1"/>
  <c r="M146" i="1"/>
  <c r="J146" i="1"/>
  <c r="F146" i="1"/>
  <c r="M145" i="1"/>
  <c r="J145" i="1"/>
  <c r="F145" i="1"/>
  <c r="M144" i="1"/>
  <c r="J144" i="1"/>
  <c r="F144" i="1"/>
  <c r="M143" i="1"/>
  <c r="J143" i="1"/>
  <c r="F143" i="1"/>
  <c r="M142" i="1"/>
  <c r="J142" i="1"/>
  <c r="F142" i="1"/>
  <c r="M141" i="1"/>
  <c r="J141" i="1"/>
  <c r="F141" i="1"/>
  <c r="M140" i="1"/>
  <c r="J140" i="1"/>
  <c r="F140" i="1"/>
  <c r="M139" i="1"/>
  <c r="J139" i="1"/>
  <c r="F139" i="1"/>
  <c r="M138" i="1"/>
  <c r="J138" i="1"/>
  <c r="F138" i="1"/>
  <c r="M137" i="1"/>
  <c r="J137" i="1"/>
  <c r="F137" i="1"/>
  <c r="M136" i="1"/>
  <c r="J136" i="1"/>
  <c r="F136" i="1"/>
  <c r="M135" i="1"/>
  <c r="J135" i="1"/>
  <c r="F135" i="1"/>
  <c r="M134" i="1"/>
  <c r="J134" i="1"/>
  <c r="F134" i="1"/>
  <c r="M133" i="1"/>
  <c r="J133" i="1"/>
  <c r="F133" i="1"/>
  <c r="M132" i="1"/>
  <c r="J132" i="1"/>
  <c r="F132" i="1"/>
  <c r="M131" i="1"/>
  <c r="J131" i="1"/>
  <c r="F131" i="1"/>
  <c r="M130" i="1"/>
  <c r="J130" i="1"/>
  <c r="F130" i="1"/>
  <c r="M129" i="1"/>
  <c r="J129" i="1"/>
  <c r="F129" i="1"/>
  <c r="M128" i="1"/>
  <c r="J128" i="1"/>
  <c r="F128" i="1"/>
  <c r="M127" i="1"/>
  <c r="J127" i="1"/>
  <c r="F127" i="1"/>
  <c r="M126" i="1"/>
  <c r="J126" i="1"/>
  <c r="F126" i="1"/>
  <c r="M125" i="1"/>
  <c r="J125" i="1"/>
  <c r="F125" i="1"/>
  <c r="M124" i="1"/>
  <c r="J124" i="1"/>
  <c r="F124" i="1"/>
  <c r="M123" i="1"/>
  <c r="J123" i="1"/>
  <c r="F123" i="1"/>
  <c r="M122" i="1"/>
  <c r="J122" i="1"/>
  <c r="F122" i="1"/>
  <c r="M121" i="1"/>
  <c r="J121" i="1"/>
  <c r="F121" i="1"/>
  <c r="M120" i="1"/>
  <c r="J120" i="1"/>
  <c r="F120" i="1"/>
  <c r="M119" i="1"/>
  <c r="J119" i="1"/>
  <c r="F119" i="1"/>
  <c r="M118" i="1"/>
  <c r="J118" i="1"/>
  <c r="F118" i="1"/>
  <c r="M117" i="1"/>
  <c r="J117" i="1"/>
  <c r="F117" i="1"/>
  <c r="M116" i="1"/>
  <c r="J116" i="1"/>
  <c r="F116" i="1"/>
  <c r="M115" i="1"/>
  <c r="J115" i="1"/>
  <c r="F115" i="1"/>
  <c r="M114" i="1"/>
  <c r="J114" i="1"/>
  <c r="F114" i="1"/>
  <c r="M113" i="1"/>
  <c r="J113" i="1"/>
  <c r="F113" i="1"/>
  <c r="M112" i="1"/>
  <c r="J112" i="1"/>
  <c r="F112" i="1"/>
  <c r="M111" i="1"/>
  <c r="J111" i="1"/>
  <c r="F111" i="1"/>
  <c r="M110" i="1"/>
  <c r="J110" i="1"/>
  <c r="F110" i="1"/>
  <c r="M109" i="1"/>
  <c r="J109" i="1"/>
  <c r="F109" i="1"/>
  <c r="M108" i="1"/>
  <c r="J108" i="1"/>
  <c r="F108" i="1"/>
  <c r="M107" i="1"/>
  <c r="J107" i="1"/>
  <c r="F107" i="1"/>
  <c r="M106" i="1"/>
  <c r="J106" i="1"/>
  <c r="F106" i="1"/>
  <c r="M105" i="1"/>
  <c r="J105" i="1"/>
  <c r="F105" i="1"/>
  <c r="M104" i="1"/>
  <c r="J104" i="1"/>
  <c r="F104" i="1"/>
  <c r="M103" i="1"/>
  <c r="J103" i="1"/>
  <c r="F103" i="1"/>
  <c r="M102" i="1"/>
  <c r="J102" i="1"/>
  <c r="F102" i="1"/>
  <c r="M101" i="1"/>
  <c r="J101" i="1"/>
  <c r="F101" i="1"/>
  <c r="M100" i="1"/>
  <c r="J100" i="1"/>
  <c r="F100" i="1"/>
  <c r="M99" i="1"/>
  <c r="J99" i="1"/>
  <c r="F99" i="1"/>
  <c r="M98" i="1"/>
  <c r="J98" i="1"/>
  <c r="F98" i="1"/>
  <c r="M97" i="1"/>
  <c r="J97" i="1"/>
  <c r="F97" i="1"/>
  <c r="M96" i="1"/>
  <c r="J96" i="1"/>
  <c r="F96" i="1"/>
  <c r="M95" i="1"/>
  <c r="J95" i="1"/>
  <c r="F95" i="1"/>
  <c r="M94" i="1"/>
  <c r="J94" i="1"/>
  <c r="F94" i="1"/>
  <c r="M93" i="1"/>
  <c r="J93" i="1"/>
  <c r="F93" i="1"/>
  <c r="M92" i="1"/>
  <c r="J92" i="1"/>
  <c r="F92" i="1"/>
  <c r="M91" i="1"/>
  <c r="J91" i="1"/>
  <c r="F91" i="1"/>
  <c r="M90" i="1"/>
  <c r="J90" i="1"/>
  <c r="F90" i="1"/>
  <c r="M89" i="1"/>
  <c r="J89" i="1"/>
  <c r="F89" i="1"/>
  <c r="M88" i="1"/>
  <c r="J88" i="1"/>
  <c r="F88" i="1"/>
  <c r="M87" i="1"/>
  <c r="J87" i="1"/>
  <c r="F87" i="1"/>
  <c r="M86" i="1"/>
  <c r="J86" i="1"/>
  <c r="F86" i="1"/>
  <c r="M85" i="1"/>
  <c r="J85" i="1"/>
  <c r="F85" i="1"/>
  <c r="M84" i="1"/>
  <c r="J84" i="1"/>
  <c r="F84" i="1"/>
  <c r="M83" i="1"/>
  <c r="J83" i="1"/>
  <c r="F83" i="1"/>
  <c r="M82" i="1"/>
  <c r="J82" i="1"/>
  <c r="F82" i="1"/>
  <c r="M81" i="1"/>
  <c r="J81" i="1"/>
  <c r="F81" i="1"/>
  <c r="M80" i="1"/>
  <c r="J80" i="1"/>
  <c r="F80" i="1"/>
  <c r="M79" i="1"/>
  <c r="J79" i="1"/>
  <c r="F79" i="1"/>
  <c r="M78" i="1"/>
  <c r="J78" i="1"/>
  <c r="F78" i="1"/>
  <c r="M77" i="1"/>
  <c r="J77" i="1"/>
  <c r="F77" i="1"/>
  <c r="M76" i="1"/>
  <c r="J76" i="1"/>
  <c r="F76" i="1"/>
  <c r="M75" i="1"/>
  <c r="J75" i="1"/>
  <c r="F75" i="1"/>
  <c r="M74" i="1"/>
  <c r="J74" i="1"/>
  <c r="F74" i="1"/>
  <c r="M73" i="1"/>
  <c r="J73" i="1"/>
  <c r="F73" i="1"/>
  <c r="M72" i="1"/>
  <c r="J72" i="1"/>
  <c r="F72" i="1"/>
  <c r="M71" i="1"/>
  <c r="J71" i="1"/>
  <c r="F71" i="1"/>
  <c r="M70" i="1"/>
  <c r="J70" i="1"/>
  <c r="F70" i="1"/>
  <c r="M69" i="1"/>
  <c r="J69" i="1"/>
  <c r="F69" i="1"/>
  <c r="M68" i="1"/>
  <c r="J68" i="1"/>
  <c r="F68" i="1"/>
  <c r="M67" i="1"/>
  <c r="J67" i="1"/>
  <c r="F67" i="1"/>
  <c r="M66" i="1"/>
  <c r="J66" i="1"/>
  <c r="F66" i="1"/>
  <c r="M65" i="1"/>
  <c r="J65" i="1"/>
  <c r="F65" i="1"/>
  <c r="M64" i="1"/>
  <c r="J64" i="1"/>
  <c r="F64" i="1"/>
  <c r="M63" i="1"/>
  <c r="J63" i="1"/>
  <c r="F63" i="1"/>
  <c r="M62" i="1"/>
  <c r="J62" i="1"/>
  <c r="F62" i="1"/>
  <c r="M61" i="1"/>
  <c r="J61" i="1"/>
  <c r="F61" i="1"/>
  <c r="M60" i="1"/>
  <c r="J60" i="1"/>
  <c r="F60" i="1"/>
  <c r="M59" i="1"/>
  <c r="J59" i="1"/>
  <c r="F59" i="1"/>
  <c r="M58" i="1"/>
  <c r="J58" i="1"/>
  <c r="F58" i="1"/>
  <c r="M57" i="1"/>
  <c r="J57" i="1"/>
  <c r="F57" i="1"/>
  <c r="M56" i="1"/>
  <c r="J56" i="1"/>
  <c r="F56" i="1"/>
  <c r="M55" i="1"/>
  <c r="J55" i="1"/>
  <c r="F55" i="1"/>
  <c r="M54" i="1"/>
  <c r="J54" i="1"/>
  <c r="F54" i="1"/>
  <c r="M53" i="1"/>
  <c r="J53" i="1"/>
  <c r="F53" i="1"/>
  <c r="M52" i="1"/>
  <c r="J52" i="1"/>
  <c r="F52" i="1"/>
  <c r="M51" i="1"/>
  <c r="J51" i="1"/>
  <c r="F51" i="1"/>
  <c r="M50" i="1"/>
  <c r="J50" i="1"/>
  <c r="F50" i="1"/>
  <c r="M49" i="1"/>
  <c r="J49" i="1"/>
  <c r="F49" i="1"/>
  <c r="M48" i="1"/>
  <c r="J48" i="1"/>
  <c r="F48" i="1"/>
  <c r="M47" i="1"/>
  <c r="J47" i="1"/>
  <c r="F47" i="1"/>
  <c r="M46" i="1"/>
  <c r="J46" i="1"/>
  <c r="F46" i="1"/>
  <c r="M45" i="1"/>
  <c r="J45" i="1"/>
  <c r="F45" i="1"/>
  <c r="M44" i="1"/>
  <c r="J44" i="1"/>
  <c r="F44" i="1"/>
  <c r="M43" i="1"/>
  <c r="J43" i="1"/>
  <c r="F43" i="1"/>
  <c r="M42" i="1"/>
  <c r="J42" i="1"/>
  <c r="F42" i="1"/>
  <c r="M41" i="1"/>
  <c r="J41" i="1"/>
  <c r="F41" i="1"/>
  <c r="M40" i="1"/>
  <c r="J40" i="1"/>
  <c r="F40" i="1"/>
  <c r="M39" i="1"/>
  <c r="J39" i="1"/>
  <c r="F39" i="1"/>
  <c r="M38" i="1"/>
  <c r="J38" i="1"/>
  <c r="F38" i="1"/>
  <c r="M37" i="1"/>
  <c r="J37" i="1"/>
  <c r="F37" i="1"/>
  <c r="M36" i="1"/>
  <c r="J36" i="1"/>
  <c r="F36" i="1"/>
  <c r="M35" i="1"/>
  <c r="J35" i="1"/>
  <c r="F35" i="1"/>
  <c r="M34" i="1"/>
  <c r="J34" i="1"/>
  <c r="F34" i="1"/>
  <c r="M33" i="1"/>
  <c r="J33" i="1"/>
  <c r="F33" i="1"/>
  <c r="M32" i="1"/>
  <c r="J32" i="1"/>
  <c r="F32" i="1"/>
  <c r="M31" i="1"/>
  <c r="J31" i="1"/>
  <c r="F31" i="1"/>
  <c r="M30" i="1"/>
  <c r="J30" i="1"/>
  <c r="F30" i="1"/>
  <c r="M29" i="1"/>
  <c r="J29" i="1"/>
  <c r="F29" i="1"/>
  <c r="M28" i="1"/>
  <c r="J28" i="1"/>
  <c r="F28" i="1"/>
  <c r="M27" i="1"/>
  <c r="J27" i="1"/>
  <c r="F27" i="1"/>
  <c r="M26" i="1"/>
  <c r="J26" i="1"/>
  <c r="F26" i="1"/>
  <c r="M25" i="1"/>
  <c r="J25" i="1"/>
  <c r="F25" i="1"/>
  <c r="M24" i="1"/>
  <c r="J24" i="1"/>
  <c r="F24" i="1"/>
  <c r="M23" i="1"/>
  <c r="J23" i="1"/>
  <c r="F23" i="1"/>
  <c r="M22" i="1"/>
  <c r="J22" i="1"/>
  <c r="F22" i="1"/>
  <c r="M21" i="1"/>
  <c r="J21" i="1"/>
  <c r="F21" i="1"/>
  <c r="M20" i="1"/>
  <c r="J20" i="1"/>
  <c r="F20" i="1"/>
  <c r="M19" i="1"/>
  <c r="J19" i="1"/>
  <c r="F19" i="1"/>
  <c r="M18" i="1"/>
  <c r="J18" i="1"/>
  <c r="F18" i="1"/>
  <c r="M17" i="1"/>
  <c r="J17" i="1"/>
  <c r="F17" i="1"/>
  <c r="M16" i="1"/>
  <c r="J16" i="1"/>
  <c r="F16" i="1"/>
  <c r="M15" i="1"/>
  <c r="J15" i="1"/>
  <c r="F15" i="1"/>
  <c r="M14" i="1"/>
  <c r="J14" i="1"/>
  <c r="F14" i="1"/>
  <c r="M13" i="1"/>
  <c r="J13" i="1"/>
  <c r="F13" i="1"/>
  <c r="M12" i="1"/>
  <c r="J12" i="1"/>
  <c r="F12" i="1"/>
  <c r="M11" i="1"/>
  <c r="J11" i="1"/>
  <c r="F11" i="1"/>
  <c r="M10" i="1"/>
  <c r="J10" i="1"/>
  <c r="F10" i="1"/>
  <c r="M9" i="1"/>
  <c r="J9" i="1"/>
  <c r="F9" i="1"/>
  <c r="M8" i="1"/>
  <c r="J8" i="1"/>
  <c r="F8" i="1"/>
  <c r="M7" i="1"/>
  <c r="J7" i="1"/>
  <c r="F7" i="1"/>
  <c r="M6" i="1"/>
  <c r="J6" i="1"/>
  <c r="F6" i="1"/>
  <c r="M5" i="1"/>
  <c r="J5" i="1"/>
  <c r="F5" i="1"/>
  <c r="M4" i="1"/>
  <c r="J4" i="1"/>
  <c r="F4" i="1"/>
  <c r="M3" i="1"/>
  <c r="J3" i="1"/>
  <c r="F3" i="1"/>
  <c r="M2" i="1"/>
  <c r="F2" i="1"/>
</calcChain>
</file>

<file path=xl/sharedStrings.xml><?xml version="1.0" encoding="utf-8"?>
<sst xmlns="http://schemas.openxmlformats.org/spreadsheetml/2006/main" count="7235" uniqueCount="3707">
  <si>
    <t>م</t>
  </si>
  <si>
    <t>Code</t>
  </si>
  <si>
    <t>TRANSACTION TYPE</t>
  </si>
  <si>
    <t>اسم العميل (عربي )</t>
  </si>
  <si>
    <t>(E)Customer name</t>
  </si>
  <si>
    <t>الموقع</t>
  </si>
  <si>
    <t>Area</t>
  </si>
  <si>
    <t>رقم الهاتف</t>
  </si>
  <si>
    <t>اسم المسؤول</t>
  </si>
  <si>
    <t>Responsible person's name</t>
  </si>
  <si>
    <t>إحداثيات الموقع</t>
  </si>
  <si>
    <t>رابط الموقع</t>
  </si>
  <si>
    <t>CUS001</t>
  </si>
  <si>
    <t>DEBIT</t>
  </si>
  <si>
    <t>مدار للتموينات</t>
  </si>
  <si>
    <t>حي الفيصلية</t>
  </si>
  <si>
    <t>26.386804580688477, 50.0611457824707</t>
  </si>
  <si>
    <r>
      <rPr>
        <u/>
        <sz val="11"/>
        <color rgb="FF1155CC"/>
        <rFont val="Arial, sans-serif"/>
      </rPr>
      <t>https://maps.google.com/?q=26.386804580688477,50.0611457824707</t>
    </r>
  </si>
  <si>
    <t>CUS002</t>
  </si>
  <si>
    <t>شركة طلعة الخيرات</t>
  </si>
  <si>
    <t>علي علي</t>
  </si>
  <si>
    <t>26.388065338134766, 50.062896728515625</t>
  </si>
  <si>
    <t>https://maps.google.com/?q=26.388065338134766,50.062896728515625</t>
  </si>
  <si>
    <t>CUS003</t>
  </si>
  <si>
    <t>اغذية الفيصلية</t>
  </si>
  <si>
    <t>محمد الصباحي</t>
  </si>
  <si>
    <t>26.38880157470703, 50.06441879272461</t>
  </si>
  <si>
    <t>https://maps.google.com/?q=26.38880157470703,50.06441879272461</t>
  </si>
  <si>
    <t>CUS004</t>
  </si>
  <si>
    <t>نور</t>
  </si>
  <si>
    <t>26.394805908203125, 50.06641387939453</t>
  </si>
  <si>
    <t>https://maps.google.com/?q=26.394805908203125,50.06641387939453</t>
  </si>
  <si>
    <t>CUS005</t>
  </si>
  <si>
    <t>أسواق الفتح</t>
  </si>
  <si>
    <t>شكري</t>
  </si>
  <si>
    <t>26.393627166748047, 50.07076644897461</t>
  </si>
  <si>
    <r>
      <rPr>
        <u/>
        <sz val="11"/>
        <color rgb="FF1155CC"/>
        <rFont val="Arial, sans-serif"/>
      </rPr>
      <t>https://maps.google.com/?q=26.393627166748047,50.07076644897461</t>
    </r>
  </si>
  <si>
    <t>CUS006</t>
  </si>
  <si>
    <t>أسواق سماء بلادي</t>
  </si>
  <si>
    <t>ابو بندر الحارثي</t>
  </si>
  <si>
    <t>26.392330169677734, 50.07307052612305</t>
  </si>
  <si>
    <t>https://maps.google.com/?q=26.392330169677734,50.07307052612305</t>
  </si>
  <si>
    <t>CUS007</t>
  </si>
  <si>
    <t>عبد العزيز</t>
  </si>
  <si>
    <t>26.383262634277344, 50.07334518432617</t>
  </si>
  <si>
    <r>
      <rPr>
        <u/>
        <sz val="11"/>
        <color rgb="FF1155CC"/>
        <rFont val="Arial, sans-serif"/>
      </rPr>
      <t>https://maps.google.com/?q=26.383262634277344,50.07334518432617</t>
    </r>
  </si>
  <si>
    <t>CUS008</t>
  </si>
  <si>
    <t>تموينات محمد</t>
  </si>
  <si>
    <t>26.383947372436523, 50.07054901123047</t>
  </si>
  <si>
    <t>https://maps.google.com/?q=26.383947372436523,50.07054901123047</t>
  </si>
  <si>
    <t>CUS009</t>
  </si>
  <si>
    <t>تموينات دليل المستهلك</t>
  </si>
  <si>
    <t>محمد اقبال</t>
  </si>
  <si>
    <t>26.384403228759766, 50.0632438659668</t>
  </si>
  <si>
    <t>https://maps.google.com/?q=26.384403228759766,50.0632438659668</t>
  </si>
  <si>
    <t>CUS010</t>
  </si>
  <si>
    <t>تموينات الهاجري</t>
  </si>
  <si>
    <t>عمر المريسي</t>
  </si>
  <si>
    <t>26.3837947845459, 50.057098388671875</t>
  </si>
  <si>
    <t>https://maps.google.com/?q=26.3837947845459,50.057098388671875</t>
  </si>
  <si>
    <t>CUS011</t>
  </si>
  <si>
    <t>أسواق زد ماركت</t>
  </si>
  <si>
    <t>حي المنار</t>
  </si>
  <si>
    <t>ثابت</t>
  </si>
  <si>
    <t>26.37799644470215, 50.059513092041016</t>
  </si>
  <si>
    <t>https://maps.google.com/?q=26.37799644470215,50.059513092041016</t>
  </si>
  <si>
    <t>CUS012</t>
  </si>
  <si>
    <t>تموينات برق المعرفة</t>
  </si>
  <si>
    <t>سفيان التميمي</t>
  </si>
  <si>
    <t>26.37895965576172, 50.049354553222656</t>
  </si>
  <si>
    <t>https://maps.google.com/?q=26.37895965576172,50.049354553222656</t>
  </si>
  <si>
    <t>CUS013</t>
  </si>
  <si>
    <t>تموينات سلة رابية</t>
  </si>
  <si>
    <t>ابو مازن</t>
  </si>
  <si>
    <t>26.37628746032715, 50.046409606933594</t>
  </si>
  <si>
    <t>https://maps.google.com/?q=26.37628746032715,50.046409606933594</t>
  </si>
  <si>
    <t>CUS014</t>
  </si>
  <si>
    <t>اسواق سماء المستهلك المركزية</t>
  </si>
  <si>
    <t>عبداللة</t>
  </si>
  <si>
    <t>26.37562370300293, 50.045387268066406</t>
  </si>
  <si>
    <t>https://maps.google.com/?q=26.37562370300293,50.045387268066406</t>
  </si>
  <si>
    <t>CUS015</t>
  </si>
  <si>
    <t>اسواق زاد التوفير</t>
  </si>
  <si>
    <t>علي</t>
  </si>
  <si>
    <t>26.367286682128906, 50.03718948364258</t>
  </si>
  <si>
    <t>https://maps.google.com/?q=26.367286682128906,50.03718948364258</t>
  </si>
  <si>
    <t>CUS016</t>
  </si>
  <si>
    <t>تموينات ربيع الصمان</t>
  </si>
  <si>
    <t>ناصر</t>
  </si>
  <si>
    <t>26.368682861328125, 50.04437255859375</t>
  </si>
  <si>
    <t>https://maps.google.com/?q=26.368682861328125,50.04437255859375</t>
  </si>
  <si>
    <t>CUS017</t>
  </si>
  <si>
    <t>مؤسسة نخيل الارياف</t>
  </si>
  <si>
    <t>ابو موسى</t>
  </si>
  <si>
    <t>26.36754608154297, 50.04323196411133</t>
  </si>
  <si>
    <t>https://maps.google.com/?q=26.36754608154297,50.04323196411133</t>
  </si>
  <si>
    <t>CUS018</t>
  </si>
  <si>
    <t>تموينات هامات</t>
  </si>
  <si>
    <t>سلمان</t>
  </si>
  <si>
    <t>26.36308479309082, 50.04037094116211</t>
  </si>
  <si>
    <t>https://maps.google.com/?q=26.36308479309082,50.04037094116211</t>
  </si>
  <si>
    <t>CUS019</t>
  </si>
  <si>
    <t>تموينات شلال الغير</t>
  </si>
  <si>
    <t>سالم</t>
  </si>
  <si>
    <t>26.364431381225586, 50.0390625</t>
  </si>
  <si>
    <t>https://maps.google.com/?q=26.364431381225586,50.0390625</t>
  </si>
  <si>
    <t>CUS020</t>
  </si>
  <si>
    <t>تموينات سلة داري</t>
  </si>
  <si>
    <t>ايمون</t>
  </si>
  <si>
    <t>26.363447189331055, 50.03715133666992</t>
  </si>
  <si>
    <t>https://maps.google.com/?q=26.363447189331055,50.03715133666992</t>
  </si>
  <si>
    <t>CUS021</t>
  </si>
  <si>
    <t>تموينات شبكة المنار</t>
  </si>
  <si>
    <t>ابو سند</t>
  </si>
  <si>
    <t>26.362247467041016, 50.03511047363281</t>
  </si>
  <si>
    <t>https://maps.google.com/?q=26.362247467041016,50.03511047363281</t>
  </si>
  <si>
    <t>CUS022</t>
  </si>
  <si>
    <t>شركة سلة الخير</t>
  </si>
  <si>
    <t>عبد القادر</t>
  </si>
  <si>
    <t>26.36713409423828, 50.03365707397461</t>
  </si>
  <si>
    <t>https://maps.google.com/?q=26.36713409423828,50.03365707397461</t>
  </si>
  <si>
    <t>CUS023</t>
  </si>
  <si>
    <t>تموينات توب المنار</t>
  </si>
  <si>
    <t>عواد</t>
  </si>
  <si>
    <t>26.366561889648438, 50.03307342529297</t>
  </si>
  <si>
    <r>
      <rPr>
        <u/>
        <sz val="11"/>
        <color rgb="FF1155CC"/>
        <rFont val="Arial, sans-serif"/>
      </rPr>
      <t>https://maps.google.com/?q=26.366561889648438,50.03307342529297</t>
    </r>
  </si>
  <si>
    <t>CUS024</t>
  </si>
  <si>
    <t>سلة الاذواق</t>
  </si>
  <si>
    <t>توكو</t>
  </si>
  <si>
    <t>26.365114212036133, 50.03079605102539</t>
  </si>
  <si>
    <t>https://maps.google.com/?q=26.365114212036133,50.03079605102539</t>
  </si>
  <si>
    <t>CUS025</t>
  </si>
  <si>
    <t>تموينات عاىشة المتميزة</t>
  </si>
  <si>
    <t>ابراهيم ابو عبد الكريم</t>
  </si>
  <si>
    <t>26.372892379760742, 50.03182601928711</t>
  </si>
  <si>
    <t>https://maps.google.com/?q=26.372892379760742,50.03182601928711</t>
  </si>
  <si>
    <t>CUS026</t>
  </si>
  <si>
    <t>تموينات الجزيرة فريش</t>
  </si>
  <si>
    <t>دنيش</t>
  </si>
  <si>
    <t>26.36435890197754, 50.02977752685547</t>
  </si>
  <si>
    <t>https://maps.google.com/?q=26.36435890197754,50.02977752685547</t>
  </si>
  <si>
    <t>CUS027</t>
  </si>
  <si>
    <t>أسواق عالم ناس</t>
  </si>
  <si>
    <t>مبارك الجعيدي</t>
  </si>
  <si>
    <t>26.380287170410156, 50.02554702758789</t>
  </si>
  <si>
    <t>https://maps.google.com/?q=26.380287170410156,50.02554702758789</t>
  </si>
  <si>
    <t>CUS028</t>
  </si>
  <si>
    <t>مؤسسة محمد حسن العنبري</t>
  </si>
  <si>
    <t>افضل</t>
  </si>
  <si>
    <t>26.380983352661133, 50.02537536621094</t>
  </si>
  <si>
    <t>https://maps.google.com/?q=26.380983352661133,50.02537536621094</t>
  </si>
  <si>
    <t>CUS029</t>
  </si>
  <si>
    <t>تموينات مراكب الخير</t>
  </si>
  <si>
    <t>عبدالرحمن</t>
  </si>
  <si>
    <t>26.37590789794922, 50.0297966003418</t>
  </si>
  <si>
    <t>https://maps.google.com/?q=26.37590789794922,50.0297966003418</t>
  </si>
  <si>
    <t>CUS030</t>
  </si>
  <si>
    <t>اسواق درب العاصمة</t>
  </si>
  <si>
    <t>26.37042236328125, 50.03435134887695</t>
  </si>
  <si>
    <t>https://maps.google.com/?q=26.37042236328125,50.03435134887695</t>
  </si>
  <si>
    <t>CUS031</t>
  </si>
  <si>
    <t>عبدالحكيم</t>
  </si>
  <si>
    <t>26.372631072998047, 50.040931701660156</t>
  </si>
  <si>
    <t>https://maps.google.com/?q=26.372631072998047,50.040931701660156</t>
  </si>
  <si>
    <t>CUS032</t>
  </si>
  <si>
    <t>اسواق جنان البركة</t>
  </si>
  <si>
    <t>ابو خالد عبدالرحمن</t>
  </si>
  <si>
    <t>26.3769474029541, 50.0466423034668</t>
  </si>
  <si>
    <t>https://maps.google.com/?q=26.3769474029541,50.0466423034668</t>
  </si>
  <si>
    <t>CUS033</t>
  </si>
  <si>
    <t>أسواق المخزن الاول</t>
  </si>
  <si>
    <t>26.37879180908203, 50.037967681884766</t>
  </si>
  <si>
    <r>
      <rPr>
        <u/>
        <sz val="11"/>
        <color rgb="FF1155CC"/>
        <rFont val="Arial, sans-serif"/>
      </rPr>
      <t>https://maps.google.com/?q=26.37879180908203,50.037967681884766</t>
    </r>
  </si>
  <si>
    <t>CUS034</t>
  </si>
  <si>
    <t>تموينات النالة</t>
  </si>
  <si>
    <t>عبدالله</t>
  </si>
  <si>
    <t>26.388349533081055, 50.04155731201172</t>
  </si>
  <si>
    <t>https://maps.google.com/?q=26.388349533081055,50.04155731201172</t>
  </si>
  <si>
    <t>CUS035</t>
  </si>
  <si>
    <t>تموينات سلة ناس</t>
  </si>
  <si>
    <t>26.38078498840332, 50.04916763305664</t>
  </si>
  <si>
    <t>https://maps.google.com/?q=26.38078498840332,50.04916763305664</t>
  </si>
  <si>
    <t>CUS036</t>
  </si>
  <si>
    <t>تموينات اول داي</t>
  </si>
  <si>
    <t>ابو حامد</t>
  </si>
  <si>
    <t>26.380844116210938, 50.052310943603516</t>
  </si>
  <si>
    <t>https://maps.google.com/?q=26.380844116210938,50.052310943603516</t>
  </si>
  <si>
    <t>CUS037</t>
  </si>
  <si>
    <t>اسواق زد ماركت</t>
  </si>
  <si>
    <t>26.37790870666504, 50.05939483642578</t>
  </si>
  <si>
    <t>https://maps.google.com/?q=26.37790870666504,50.05939483642578</t>
  </si>
  <si>
    <t>CUS038</t>
  </si>
  <si>
    <t>سوبر ماركت</t>
  </si>
  <si>
    <t>ابو راجح</t>
  </si>
  <si>
    <t>26.382686614990234, 50.054954528808594</t>
  </si>
  <si>
    <t>https://maps.google.com/?q=26.382686614990234,50.054954528808594</t>
  </si>
  <si>
    <t>CUS039</t>
  </si>
  <si>
    <t>تموينات صبا</t>
  </si>
  <si>
    <t>عبده</t>
  </si>
  <si>
    <t>26.3957576751709, 50.04337692260742</t>
  </si>
  <si>
    <t>https://maps.google.com/?q=26.3957576751709,50.04337692260742</t>
  </si>
  <si>
    <t>CUS040</t>
  </si>
  <si>
    <t>نور الزاد</t>
  </si>
  <si>
    <t>حي النور</t>
  </si>
  <si>
    <t>ابو صالح</t>
  </si>
  <si>
    <t>26.42633056640625, 50.02357482910156</t>
  </si>
  <si>
    <t>https://maps.google.com/?q=26.42633056640625,50.02357482910156</t>
  </si>
  <si>
    <t>CUS041</t>
  </si>
  <si>
    <t>شركة ازارا الخليجية</t>
  </si>
  <si>
    <t>محمود</t>
  </si>
  <si>
    <t>26.426490783691406, 50.02308654785156</t>
  </si>
  <si>
    <t>https://maps.google.com/?q=26.426490783691406,50.02308654785156</t>
  </si>
  <si>
    <t>CUS042</t>
  </si>
  <si>
    <t>سوبر ماركت زارا الخليجية</t>
  </si>
  <si>
    <t>صدام حسين</t>
  </si>
  <si>
    <t>26.428049087524414, 50.022220611572266</t>
  </si>
  <si>
    <t>https://maps.google.com/?q=26.428049087524414,50.022220611572266</t>
  </si>
  <si>
    <t>CUS043</t>
  </si>
  <si>
    <t>شركة بسمي للتجارة</t>
  </si>
  <si>
    <t>سراج الدين</t>
  </si>
  <si>
    <t>26.427570343017578, 50.0234260559082</t>
  </si>
  <si>
    <t>https://maps.google.com/?q=26.427570343017578,50.0234260559082</t>
  </si>
  <si>
    <t>CUS044</t>
  </si>
  <si>
    <t>أسواق نجمة الغدير</t>
  </si>
  <si>
    <t>رضوان</t>
  </si>
  <si>
    <t>26.424253463745117, 50.024967193603516</t>
  </si>
  <si>
    <t>https://maps.google.com/?q=26.424253463745117,50.024967193603516</t>
  </si>
  <si>
    <t>CUS045</t>
  </si>
  <si>
    <t>تموينات غيمة شتاء</t>
  </si>
  <si>
    <t>عبدالقادر</t>
  </si>
  <si>
    <t>26.430103302001953, 50.0180778503418</t>
  </si>
  <si>
    <t>https://maps.google.com/?q=26.430103302001953,50.0180778503418</t>
  </si>
  <si>
    <t>CUS046</t>
  </si>
  <si>
    <t>تموينات ديار العز</t>
  </si>
  <si>
    <t>عصمان</t>
  </si>
  <si>
    <t>26.43231773376465, 50.021278381347656</t>
  </si>
  <si>
    <t>https://maps.google.com/?q=26.43231773376465,50.021278381347656</t>
  </si>
  <si>
    <t>CUS047</t>
  </si>
  <si>
    <t>تموينات حياة العافيه</t>
  </si>
  <si>
    <t>26.428285598754883, 50.01719284057617</t>
  </si>
  <si>
    <t>https://maps.google.com/?q=26.428285598754883,50.01719284057617</t>
  </si>
  <si>
    <t>CUS048</t>
  </si>
  <si>
    <t>تموينات أمواج الثلوج</t>
  </si>
  <si>
    <t>احمد علي</t>
  </si>
  <si>
    <t>26.42816925048828, 50.01979446411133</t>
  </si>
  <si>
    <t>https://maps.google.com/?q=26.42816925048828,50.01979446411133</t>
  </si>
  <si>
    <t>CUS049</t>
  </si>
  <si>
    <t>بقالة ديار العز</t>
  </si>
  <si>
    <t>شهيد</t>
  </si>
  <si>
    <t>26.42650032043457, 50.0203742980957</t>
  </si>
  <si>
    <t>https://maps.google.com/?q=26.42650032043457,50.0203742980957</t>
  </si>
  <si>
    <t>CUS050</t>
  </si>
  <si>
    <t>شركة كرز العرب</t>
  </si>
  <si>
    <t>26.42249870300293, 50.021568298339844</t>
  </si>
  <si>
    <t>https://maps.google.com/?q=26.42249870300293,50.021568298339844</t>
  </si>
  <si>
    <t>CUS051</t>
  </si>
  <si>
    <t>الركن الذهبي</t>
  </si>
  <si>
    <t>ياسر</t>
  </si>
  <si>
    <t>26.419971466064453, 50.021671295166016</t>
  </si>
  <si>
    <t>https://maps.google.com/?q=26.419971466064453,50.021671295166016</t>
  </si>
  <si>
    <t>CUS052</t>
  </si>
  <si>
    <t>بقالة فخامة طويق</t>
  </si>
  <si>
    <t>مأمؤن</t>
  </si>
  <si>
    <t>26.434528350830078, 50.03157043457031</t>
  </si>
  <si>
    <t>https://maps.google.com/?q=26.434528350830078,50.03157043457031</t>
  </si>
  <si>
    <t>CUS053</t>
  </si>
  <si>
    <t>شركة الراج الاصلي</t>
  </si>
  <si>
    <t>26.43097496032715, 50.02766799926758</t>
  </si>
  <si>
    <t>https://maps.google.com/?q=26.43097496032715,50.02766799926758</t>
  </si>
  <si>
    <t>CUS054</t>
  </si>
  <si>
    <t>تموينات رعد الجنوب</t>
  </si>
  <si>
    <t>26.434051513671875, 50.02613830566406</t>
  </si>
  <si>
    <t>https://maps.google.com/?q=26.434051513671875,50.02613830566406</t>
  </si>
  <si>
    <t>CUS055</t>
  </si>
  <si>
    <t>26.434003829956055, 50.02493667602539</t>
  </si>
  <si>
    <t>https://maps.google.com/?q=26.434003829956055,50.02493667602539</t>
  </si>
  <si>
    <t>CUS056</t>
  </si>
  <si>
    <t>تموينات مطلق</t>
  </si>
  <si>
    <t>كوثر</t>
  </si>
  <si>
    <t>26.434402465820312, 50.025596618652344</t>
  </si>
  <si>
    <t>https://maps.google.com/?q=26.434402465820312,50.025596618652344</t>
  </si>
  <si>
    <t>CUS057</t>
  </si>
  <si>
    <t>تموينات العائلة</t>
  </si>
  <si>
    <t>عالم</t>
  </si>
  <si>
    <t>26.432979583740234, 50.02992630004883</t>
  </si>
  <si>
    <t>https://maps.google.com/?q=26.432979583740234,50.02992630004883</t>
  </si>
  <si>
    <t>CUS058</t>
  </si>
  <si>
    <t>CUS059</t>
  </si>
  <si>
    <t>شركة نخلة الدوحة</t>
  </si>
  <si>
    <t>نجيد الحبتور</t>
  </si>
  <si>
    <t>26.427112579345703, 50.0363883972168</t>
  </si>
  <si>
    <t>https://maps.google.com/?q=26.427112579345703,50.0363883972168</t>
  </si>
  <si>
    <t>CUS060</t>
  </si>
  <si>
    <t>بقاله ركن ونور</t>
  </si>
  <si>
    <t>محمد</t>
  </si>
  <si>
    <t>26.435747146606445, 50.033119201660156</t>
  </si>
  <si>
    <t>https://maps.google.com/?q=26.435747146606445,50.033119201660156</t>
  </si>
  <si>
    <t>CUS061</t>
  </si>
  <si>
    <t>26.431602478027344, 50.036109924316406</t>
  </si>
  <si>
    <t>https://maps.google.com/?q=26.431602478027344,50.036109924316406</t>
  </si>
  <si>
    <t>CUS062</t>
  </si>
  <si>
    <t>تموينات ماسة المستقبل</t>
  </si>
  <si>
    <t>محمد احمد</t>
  </si>
  <si>
    <t>26.43585777282715, 50.03416442871094</t>
  </si>
  <si>
    <t>https://maps.google.com/?q=26.43585777282715,50.03416442871094</t>
  </si>
  <si>
    <t>CUS063</t>
  </si>
  <si>
    <t>اسواق خدمة العملاء</t>
  </si>
  <si>
    <t>حي الفيحاء</t>
  </si>
  <si>
    <t>26.438308715820312, 50.03414535522461</t>
  </si>
  <si>
    <t>https://maps.google.com/?q=26.438308715820312,50.03414535522461</t>
  </si>
  <si>
    <t>CUS064</t>
  </si>
  <si>
    <t>تموينات فيحاء دمشق</t>
  </si>
  <si>
    <t>26.436845779418945, 50.035831451416016</t>
  </si>
  <si>
    <t>https://maps.google.com/?q=26.436845779418945,50.035831451416016</t>
  </si>
  <si>
    <t>CUS065</t>
  </si>
  <si>
    <t>تموينات عطانا حلو</t>
  </si>
  <si>
    <t>26.437652587890625, 50.03755569458008</t>
  </si>
  <si>
    <t>https://maps.google.com/?q=26.437652587890625,50.03755569458008</t>
  </si>
  <si>
    <t>CUS066</t>
  </si>
  <si>
    <t>تموينات زاوية الفيحاء</t>
  </si>
  <si>
    <t>فاصل</t>
  </si>
  <si>
    <t>26.438154220581055, 50.03923797607422</t>
  </si>
  <si>
    <t>https://maps.google.com/?q=26.438154220581055,50.03923797607422</t>
  </si>
  <si>
    <t>CUS067</t>
  </si>
  <si>
    <t>تموينات بروج المائدة</t>
  </si>
  <si>
    <t>26.432804107666016, 50.04411315917969</t>
  </si>
  <si>
    <t>https://maps.google.com/?q=26.432804107666016,50.04411315917969</t>
  </si>
  <si>
    <t>CUS068</t>
  </si>
  <si>
    <t>تموينات ليالي البحر</t>
  </si>
  <si>
    <t>26.43446922302246, 50.04531478881836</t>
  </si>
  <si>
    <t>https://maps.google.com/?q=26.43446922302246,50.04531478881836</t>
  </si>
  <si>
    <t>CUS069</t>
  </si>
  <si>
    <t>شركة شموس المها</t>
  </si>
  <si>
    <t>شوكت</t>
  </si>
  <si>
    <t>26.43793487548828, 50.047279357910156</t>
  </si>
  <si>
    <t>https://maps.google.com/?q=26.43793487548828,50.047279357910156</t>
  </si>
  <si>
    <t>CUS070</t>
  </si>
  <si>
    <t>تموينات جوهرة يومك</t>
  </si>
  <si>
    <t>حي الضباب</t>
  </si>
  <si>
    <t>عبد المعز</t>
  </si>
  <si>
    <t>26.41676902770996, 50.06015396118164</t>
  </si>
  <si>
    <t>https://maps.google.com/?q=26.41676902770996,50.06015396118164</t>
  </si>
  <si>
    <t>CUS071</t>
  </si>
  <si>
    <t>تموينات مزايا</t>
  </si>
  <si>
    <t>26.41402816772461, 50.0545768737793</t>
  </si>
  <si>
    <t>https://maps.google.com/?q=26.41402816772461,50.0545768737793</t>
  </si>
  <si>
    <t>CUS072</t>
  </si>
  <si>
    <t>تموينات راكن السعيد</t>
  </si>
  <si>
    <t>مؤمون اسماعيل</t>
  </si>
  <si>
    <t>26.430889129638672, 50.04880142211914</t>
  </si>
  <si>
    <t>https://maps.google.com/?q=26.430889129638672,50.04880142211914</t>
  </si>
  <si>
    <t>CUS073</t>
  </si>
  <si>
    <t>26.409347534179688, 50.058536529541016</t>
  </si>
  <si>
    <t>https://maps.google.com/?q=26.409347534179688,50.058536529541016</t>
  </si>
  <si>
    <t>CUS074</t>
  </si>
  <si>
    <t>تموينات نجوم اليمن</t>
  </si>
  <si>
    <t>عبدالرؤف</t>
  </si>
  <si>
    <t>26.43120574951172, 50.042728424072266</t>
  </si>
  <si>
    <t>https://maps.google.com/?q=26.43120574951172,50.042728424072266</t>
  </si>
  <si>
    <t>CUS075</t>
  </si>
  <si>
    <t>اسواق ومخابز خدمة العملاء</t>
  </si>
  <si>
    <t>احمد</t>
  </si>
  <si>
    <t>26.42622184753418, 50.04447937011719</t>
  </si>
  <si>
    <t>https://maps.google.com/?q=26.42622184753418,50.04447937011719</t>
  </si>
  <si>
    <t>CUS076</t>
  </si>
  <si>
    <t>اسواق زبدة التوفير</t>
  </si>
  <si>
    <t>حي احد</t>
  </si>
  <si>
    <t>ابو عمر</t>
  </si>
  <si>
    <t>26.412899017333984, 50.03219985961914</t>
  </si>
  <si>
    <t>https://maps.google.com/?q=26.412899017333984,50.03219985961914</t>
  </si>
  <si>
    <t>CUS077</t>
  </si>
  <si>
    <t>تموينات سله مدائن احد</t>
  </si>
  <si>
    <t>ابو علي</t>
  </si>
  <si>
    <t>26.4118709564209, 50.033348083496094</t>
  </si>
  <si>
    <t>https://maps.google.com/?q=26.4118709564209,50.033348083496094</t>
  </si>
  <si>
    <t>CUS078</t>
  </si>
  <si>
    <t>بقالة وادي الخير</t>
  </si>
  <si>
    <t>26.410633087158203, 50.033687591552734</t>
  </si>
  <si>
    <t>https://maps.google.com/?q=26.410633087158203,50.033687591552734</t>
  </si>
  <si>
    <t>CUS079</t>
  </si>
  <si>
    <t>شركة سنابل الشرق</t>
  </si>
  <si>
    <t>فيروز</t>
  </si>
  <si>
    <t>26.40224838256836, 50.039710998535156</t>
  </si>
  <si>
    <t>https://maps.google.com/?q=26.40224838256836,50.039710998535156</t>
  </si>
  <si>
    <t>CUS080</t>
  </si>
  <si>
    <t>نجوم الراحة للتسوق</t>
  </si>
  <si>
    <t>احمد ابو خالد</t>
  </si>
  <si>
    <t>26.400287628173828, 50.04106140136719</t>
  </si>
  <si>
    <t>https://maps.google.com/?q=26.400287628173828,50.04106140136719</t>
  </si>
  <si>
    <t>CUS081</t>
  </si>
  <si>
    <t>واحة الاوفاء</t>
  </si>
  <si>
    <t>26.39899444580078, 50.0448112487793</t>
  </si>
  <si>
    <t>https://maps.google.com/?q=26.39899444580078,50.0448112487793</t>
  </si>
  <si>
    <t>CUS082</t>
  </si>
  <si>
    <t>هاذا تبع مزايا في وهو المسؤل</t>
  </si>
  <si>
    <t>26.401416778564453, 50.04838180541992</t>
  </si>
  <si>
    <t>https://maps.google.com/?q=26.401416778564453,50.04838180541992</t>
  </si>
  <si>
    <t>CUS083</t>
  </si>
  <si>
    <t>تموينات ستار هلا</t>
  </si>
  <si>
    <t>26.401939392089844, 50.0503044128418</t>
  </si>
  <si>
    <t>https://maps.google.com/?q=26.401939392089844,50.0503044128418</t>
  </si>
  <si>
    <t>CUS084</t>
  </si>
  <si>
    <t>أسواق بابل محطة الحارثي</t>
  </si>
  <si>
    <t>هيثم العواضي</t>
  </si>
  <si>
    <t>26.407289505004883, 50.0589714050293</t>
  </si>
  <si>
    <t>https://maps.google.com/?q=26.407289505004883,50.0589714050293</t>
  </si>
  <si>
    <t>CUS085</t>
  </si>
  <si>
    <t>المركز الاخضر للتسويق</t>
  </si>
  <si>
    <t>ايوب</t>
  </si>
  <si>
    <t>26.414302825927734, 50.053409576416016</t>
  </si>
  <si>
    <t>https://maps.google.com/?q=26.414302825927734,50.053409576416016</t>
  </si>
  <si>
    <t>CUS086</t>
  </si>
  <si>
    <t>علم سلة التوفير</t>
  </si>
  <si>
    <t>ابو ليث</t>
  </si>
  <si>
    <t>26.4163761138916, 50.05158996582031</t>
  </si>
  <si>
    <t>https://maps.google.com/?q=26.4163761138916,50.05158996582031</t>
  </si>
  <si>
    <t>CUS087</t>
  </si>
  <si>
    <t>تموينات رياض الابداع</t>
  </si>
  <si>
    <t>رياض</t>
  </si>
  <si>
    <t>26.416963577270508, 50.05113983154297</t>
  </si>
  <si>
    <t>https://maps.google.com/?q=26.416963577270508,50.05113983154297</t>
  </si>
  <si>
    <t>CUS088</t>
  </si>
  <si>
    <t>بقالة منصور</t>
  </si>
  <si>
    <t>منصور ناصر</t>
  </si>
  <si>
    <t>26.420635223388672, 50.04792022705078</t>
  </si>
  <si>
    <t>https://maps.google.com/?q=26.420635223388672,50.04792022705078</t>
  </si>
  <si>
    <t>CUS089</t>
  </si>
  <si>
    <t>بقالة فريال</t>
  </si>
  <si>
    <t>مصطفى</t>
  </si>
  <si>
    <t>26.42191505432129, 50.04682540893555</t>
  </si>
  <si>
    <t>https://maps.google.com/?q=26.42191505432129,50.04682540893555</t>
  </si>
  <si>
    <t>CUS090</t>
  </si>
  <si>
    <t>شركة دنيا القصيم</t>
  </si>
  <si>
    <t>الذيب</t>
  </si>
  <si>
    <t>26.41356086730957, 50.040775299072266</t>
  </si>
  <si>
    <t>https://maps.google.com/?q=26.41356086730957,50.040775299072266</t>
  </si>
  <si>
    <t>CUS091</t>
  </si>
  <si>
    <t>بقالة خيرات احد 2</t>
  </si>
  <si>
    <t>26.417016983032227, 50.047855377197266</t>
  </si>
  <si>
    <t>https://maps.google.com/?q=26.417016983032227,50.047855377197266</t>
  </si>
  <si>
    <t>CUS092</t>
  </si>
  <si>
    <t>عبدالكريم تموينات سنابل لمى</t>
  </si>
  <si>
    <t>26.414207458496094, 50.040008544921875</t>
  </si>
  <si>
    <t>https://maps.google.com/?q=26.414207458496094,50.040008544921875</t>
  </si>
  <si>
    <t>CUS093</t>
  </si>
  <si>
    <t>تموينات ريتاج</t>
  </si>
  <si>
    <t>هارون</t>
  </si>
  <si>
    <t>26.421186447143555, 50.03547668457031</t>
  </si>
  <si>
    <t>https://maps.google.com/?q=26.421186447143555,50.03547668457031</t>
  </si>
  <si>
    <t>CUS094</t>
  </si>
  <si>
    <t>النجمة الرائعة</t>
  </si>
  <si>
    <t>26.419008255004883, 50.03140640258789</t>
  </si>
  <si>
    <t>https://maps.google.com/?q=26.419008255004883,50.03140640258789</t>
  </si>
  <si>
    <t>CUS095</t>
  </si>
  <si>
    <t>أسواق كرم المستهلك</t>
  </si>
  <si>
    <t>عبدالقوي</t>
  </si>
  <si>
    <t>26.422901153564453, 50.03812789916992</t>
  </si>
  <si>
    <t>https://maps.google.com/?q=26.422901153564453,50.03812789916992</t>
  </si>
  <si>
    <t>CUS096</t>
  </si>
  <si>
    <t>تموينات درر للمواد الغذاىيه حي</t>
  </si>
  <si>
    <t>صهيب</t>
  </si>
  <si>
    <t>26.425745010375977, 50.035743713378906</t>
  </si>
  <si>
    <t>https://maps.google.com/?q=26.425745010375977,50.035743713378906</t>
  </si>
  <si>
    <t>CUS097</t>
  </si>
  <si>
    <t>مؤسسة ريم السعاده</t>
  </si>
  <si>
    <t>26.42238426208496, 50.02950668334961</t>
  </si>
  <si>
    <t>https://maps.google.com/?q=26.42238426208496,50.02950668334961</t>
  </si>
  <si>
    <t>CUS098</t>
  </si>
  <si>
    <t>تموينات عبدالله يسلم النهدي</t>
  </si>
  <si>
    <t>حي بدر</t>
  </si>
  <si>
    <t>طارق</t>
  </si>
  <si>
    <t>26.40407371520996, 50.01812744140625</t>
  </si>
  <si>
    <t>https://maps.google.com/?q=26.40407371520996,50.01812744140625</t>
  </si>
  <si>
    <t>CUS099</t>
  </si>
  <si>
    <t>اسواق سماء المستهلك المركزيه</t>
  </si>
  <si>
    <t>سعيد</t>
  </si>
  <si>
    <t>26.393831253051758, 50.026885986328125</t>
  </si>
  <si>
    <t>https://maps.google.com/?q=26.393831253051758,50.026885986328125</t>
  </si>
  <si>
    <t>CUS100</t>
  </si>
  <si>
    <t>بقالة البركه 2</t>
  </si>
  <si>
    <t>ديميل</t>
  </si>
  <si>
    <t>26.395076751708984, 50.022762298583984</t>
  </si>
  <si>
    <t>https://maps.google.com/?q=26.395076751708984,50.022762298583984</t>
  </si>
  <si>
    <t>CUS101</t>
  </si>
  <si>
    <t>تموينات ربوع ضاوي</t>
  </si>
  <si>
    <t>محمد الاشول</t>
  </si>
  <si>
    <t>26.398611068725586, 50.025421142578125</t>
  </si>
  <si>
    <t>https://maps.google.com/?q=26.398611068725586,50.025421142578125</t>
  </si>
  <si>
    <t>CUS102</t>
  </si>
  <si>
    <t>سوبر ماركت شركة مير اكو</t>
  </si>
  <si>
    <t>منير</t>
  </si>
  <si>
    <t>26.39326286315918, 50.032772064208984</t>
  </si>
  <si>
    <t>https://maps.google.com/?q=26.39326286315918,50.032772064208984</t>
  </si>
  <si>
    <t>CUS103</t>
  </si>
  <si>
    <t>بقالة عبدالعزيز ابراهيم العوفي</t>
  </si>
  <si>
    <t>26.394649505615234, 50.035926818847656</t>
  </si>
  <si>
    <t>https://maps.google.com/?q=26.394649505615234,50.035926818847656</t>
  </si>
  <si>
    <t>CUS104</t>
  </si>
  <si>
    <t>تموينات اطياب المشتريات</t>
  </si>
  <si>
    <t>يوسف</t>
  </si>
  <si>
    <t>CUS105</t>
  </si>
  <si>
    <t>بقالة خيرات احد</t>
  </si>
  <si>
    <t>26.405975341796875, 50.02837371826172</t>
  </si>
  <si>
    <t>https://maps.google.com/?q=26.405975341796875,50.02837371826172</t>
  </si>
  <si>
    <t>CUS106</t>
  </si>
  <si>
    <t>اسواق السلة مارت</t>
  </si>
  <si>
    <t>ابو احمد</t>
  </si>
  <si>
    <t>26.407426834106445, 50.035682678222656</t>
  </si>
  <si>
    <t>https://maps.google.com/?q=26.407426834106445,50.035682678222656</t>
  </si>
  <si>
    <t>CUS107</t>
  </si>
  <si>
    <t>تموينات عبدالرحمان</t>
  </si>
  <si>
    <t>26.39889907836914, 50.03254318237305</t>
  </si>
  <si>
    <t>https://maps.google.com/?q=26.39889907836914,50.03254318237305</t>
  </si>
  <si>
    <t>CUS108</t>
  </si>
  <si>
    <t>بقالة احلام موسى</t>
  </si>
  <si>
    <t>امجد خالد</t>
  </si>
  <si>
    <t>26.41120719909668, 50.03291702270508</t>
  </si>
  <si>
    <t>https://maps.google.com/?q=26.41120719909668,50.03291702270508</t>
  </si>
  <si>
    <t>CUS109</t>
  </si>
  <si>
    <t>تموينات رملة الغرب</t>
  </si>
  <si>
    <t>عبدالحكيم اليافعي</t>
  </si>
  <si>
    <t>26.41988754272461, 50.024024963378906</t>
  </si>
  <si>
    <t>https://maps.google.com/?q=26.41988754272461,50.024024963378906</t>
  </si>
  <si>
    <t>CUS110</t>
  </si>
  <si>
    <t>اسواق منفاذ الخير</t>
  </si>
  <si>
    <t>جواد الهندي</t>
  </si>
  <si>
    <t>26.41215705871582, 50.01438903808594</t>
  </si>
  <si>
    <t>https://maps.google.com/?q=26.41215705871582,50.01438903808594</t>
  </si>
  <si>
    <t>CUS111</t>
  </si>
  <si>
    <t>علم تموينات المستهلك لما يحتاج</t>
  </si>
  <si>
    <t>26.41352081298828, 50.020591735839844</t>
  </si>
  <si>
    <t>https://maps.google.com/?q=26.41352081298828,50.020591735839844</t>
  </si>
  <si>
    <t>CUS112</t>
  </si>
  <si>
    <t>تموينات الرزق والخير</t>
  </si>
  <si>
    <t>26.41632843017578, 50.02641677856445</t>
  </si>
  <si>
    <t>https://maps.google.com/?q=26.41632843017578,50.02641677856445</t>
  </si>
  <si>
    <t>CUS113</t>
  </si>
  <si>
    <t>تموينات أضواء الشرقية</t>
  </si>
  <si>
    <t>مسؤل التنزيل مانع يعطو رقمه</t>
  </si>
  <si>
    <t>26.414796829223633, 50.02263641357422</t>
  </si>
  <si>
    <t>https://maps.google.com/?q=26.414796829223633,50.02263641357422</t>
  </si>
  <si>
    <t>CUS114</t>
  </si>
  <si>
    <t>المنهالي تموينات افراح سالم المنهالي</t>
  </si>
  <si>
    <t>26.412269592285156, 50.01801681518555</t>
  </si>
  <si>
    <t>https://maps.google.com/?q=26.412269592285156,50.01801681518555</t>
  </si>
  <si>
    <t>CUS115</t>
  </si>
  <si>
    <t>بقالة اسواق ركن الجوده الراقيه</t>
  </si>
  <si>
    <t>ابو خطاب</t>
  </si>
  <si>
    <t>26.408214569091797, 50.01506042480469</t>
  </si>
  <si>
    <t>https://maps.google.com/?q=26.408214569091797,50.01506042480469</t>
  </si>
  <si>
    <t>CUS116</t>
  </si>
  <si>
    <t>بقالة اسواق منافذ الخير</t>
  </si>
  <si>
    <t>26.401451110839844, 50.01732635498047</t>
  </si>
  <si>
    <t>https://maps.google.com/?q=26.401451110839844,50.01732635498047</t>
  </si>
  <si>
    <t>CUS117</t>
  </si>
  <si>
    <t>تموينات الشفاء</t>
  </si>
  <si>
    <t>صالح أحمد</t>
  </si>
  <si>
    <t>26.397506713867188, 50.0186653137207</t>
  </si>
  <si>
    <t>https://maps.google.com/?q=26.397506713867188,50.0186653137207</t>
  </si>
  <si>
    <t>CUS118</t>
  </si>
  <si>
    <t>تموينات فرحة الجوري</t>
  </si>
  <si>
    <t>أبو جار الله</t>
  </si>
  <si>
    <t>26.395971298217773, 50.0185661315918</t>
  </si>
  <si>
    <t>https://maps.google.com/?q=26.395971298217773,50.0185661315918</t>
  </si>
  <si>
    <t>CUS119</t>
  </si>
  <si>
    <t>تموينات ذكي الحديثة</t>
  </si>
  <si>
    <t>26.6678356, 49.7938264</t>
  </si>
  <si>
    <r>
      <rPr>
        <u/>
        <sz val="9"/>
        <color rgb="FF1155CC"/>
        <rFont val="Arial, sans-serif"/>
      </rPr>
      <t>https://maps.google.com/?q=26.6678356,49.7938264</t>
    </r>
  </si>
  <si>
    <t>CUS120</t>
  </si>
  <si>
    <t>شركة الذهبي الشرقي</t>
  </si>
  <si>
    <t>26.8344088, 49.5564276</t>
  </si>
  <si>
    <r>
      <rPr>
        <u/>
        <sz val="9"/>
        <color rgb="FF1155CC"/>
        <rFont val="Arial, sans-serif"/>
      </rPr>
      <t>https://maps.google.com/?q=26.8344088,49.5564276</t>
    </r>
  </si>
  <si>
    <t>CUS121</t>
  </si>
  <si>
    <t>سوبر ماركت البوعينين</t>
  </si>
  <si>
    <t>26.9215568, 49.4306942</t>
  </si>
  <si>
    <r>
      <rPr>
        <u/>
        <sz val="9"/>
        <color rgb="FF1155CC"/>
        <rFont val="Arial, sans-serif"/>
      </rPr>
      <t>https://maps.google.com/?q=26.9215568,49.4306942</t>
    </r>
  </si>
  <si>
    <t>CUS122</t>
  </si>
  <si>
    <t>شركة نرجس</t>
  </si>
  <si>
    <t>ابو وليد</t>
  </si>
  <si>
    <t>27.1733817, 49.5774783</t>
  </si>
  <si>
    <r>
      <rPr>
        <u/>
        <sz val="9"/>
        <color rgb="FF1155CC"/>
        <rFont val="Arial, sans-serif"/>
      </rPr>
      <t>https://maps.google.com/?q=27.1733817,49.5774783</t>
    </r>
  </si>
  <si>
    <t>CUS123</t>
  </si>
  <si>
    <t>سلة دارين الذهبية</t>
  </si>
  <si>
    <t>27.1674706, 49.573599</t>
  </si>
  <si>
    <r>
      <rPr>
        <u/>
        <sz val="9"/>
        <color rgb="FF1155CC"/>
        <rFont val="Arial, sans-serif"/>
      </rPr>
      <t>https://maps.google.com/?q=27.1674706,49.573599</t>
    </r>
  </si>
  <si>
    <t>CUS124</t>
  </si>
  <si>
    <t>27.1389267, 49.5662517</t>
  </si>
  <si>
    <r>
      <rPr>
        <u/>
        <sz val="9"/>
        <color rgb="FF1155CC"/>
        <rFont val="Arial, sans-serif"/>
      </rPr>
      <t>https://maps.google.com/?q=27.1389267,49.5662517</t>
    </r>
  </si>
  <si>
    <t>CUS125</t>
  </si>
  <si>
    <t>شىركة نرجس 6</t>
  </si>
  <si>
    <t>27.1468033, 49.5659183</t>
  </si>
  <si>
    <r>
      <rPr>
        <u/>
        <sz val="9"/>
        <color rgb="FF1155CC"/>
        <rFont val="Arial, sans-serif"/>
      </rPr>
      <t>https://maps.google.com/?q=27.1468033,49.5659183</t>
    </r>
  </si>
  <si>
    <t>CUS126</t>
  </si>
  <si>
    <t>شركة الندى الشرقي</t>
  </si>
  <si>
    <t>27.1508042, 49.5636303</t>
  </si>
  <si>
    <r>
      <rPr>
        <u/>
        <sz val="9"/>
        <color rgb="FF1155CC"/>
        <rFont val="Arial, sans-serif"/>
      </rPr>
      <t>https://maps.google.com/?q=27.1508042,49.5636303</t>
    </r>
  </si>
  <si>
    <t>CUS127</t>
  </si>
  <si>
    <t>سوبر ماركت الزرقاء</t>
  </si>
  <si>
    <t>ابو فهد</t>
  </si>
  <si>
    <t>27.1461407, 49.5576866</t>
  </si>
  <si>
    <r>
      <rPr>
        <u/>
        <sz val="9"/>
        <color rgb="FF1155CC"/>
        <rFont val="Arial, sans-serif"/>
      </rPr>
      <t>https://maps.google.com/?q=27.1461407,49.5576866</t>
    </r>
  </si>
  <si>
    <t>CUS128</t>
  </si>
  <si>
    <t>27.1474027, 49.5515532</t>
  </si>
  <si>
    <r>
      <rPr>
        <u/>
        <sz val="9"/>
        <color rgb="FF1155CC"/>
        <rFont val="Arial, sans-serif"/>
      </rPr>
      <t>https://maps.google.com/?q=27.1474027,49.5515532</t>
    </r>
  </si>
  <si>
    <t>CUS129</t>
  </si>
  <si>
    <t>اسواق الشهد الفريد</t>
  </si>
  <si>
    <t>هادي</t>
  </si>
  <si>
    <t>27.1538758, 49.5525367</t>
  </si>
  <si>
    <r>
      <rPr>
        <u/>
        <sz val="9"/>
        <color rgb="FF1155CC"/>
        <rFont val="Arial, sans-serif"/>
      </rPr>
      <t>https://maps.google.com/?q=27.1538758,49.5525367</t>
    </r>
  </si>
  <si>
    <t>CUS130</t>
  </si>
  <si>
    <t>أسواق سلة جلمودة</t>
  </si>
  <si>
    <t>27.157649, 49.5468557</t>
  </si>
  <si>
    <r>
      <rPr>
        <u/>
        <sz val="9"/>
        <color rgb="FF1155CC"/>
        <rFont val="Arial, sans-serif"/>
      </rPr>
      <t>https://maps.google.com/?q=27.157649,49.5468557</t>
    </r>
  </si>
  <si>
    <t>CUS131</t>
  </si>
  <si>
    <t>27.158325, 49.54337</t>
  </si>
  <si>
    <r>
      <rPr>
        <u/>
        <sz val="9"/>
        <color rgb="FF1155CC"/>
        <rFont val="Arial, sans-serif"/>
      </rPr>
      <t>https://maps.google.com/?q=27.158325,49.54337</t>
    </r>
  </si>
  <si>
    <t>CUS132</t>
  </si>
  <si>
    <t>سوبر ماركت ملتقى التوفير</t>
  </si>
  <si>
    <t>27.1631631, 49.5433009</t>
  </si>
  <si>
    <r>
      <rPr>
        <u/>
        <sz val="9"/>
        <color rgb="FF1155CC"/>
        <rFont val="Arial, sans-serif"/>
      </rPr>
      <t>https://maps.google.com/?q=27.1631631,49.5433009</t>
    </r>
  </si>
  <si>
    <t>CUS133</t>
  </si>
  <si>
    <t>سوبر ماركت العروبة</t>
  </si>
  <si>
    <t>27.1715778, 49.5337811</t>
  </si>
  <si>
    <r>
      <rPr>
        <u/>
        <sz val="9"/>
        <color rgb="FF1155CC"/>
        <rFont val="Arial, sans-serif"/>
      </rPr>
      <t>https://maps.google.com/?q=27.1715778,49.5337811</t>
    </r>
  </si>
  <si>
    <t>CUS134</t>
  </si>
  <si>
    <t>أسواق ديار شبرا</t>
  </si>
  <si>
    <t>اسامه</t>
  </si>
  <si>
    <t>27.1826973, 49.5239421</t>
  </si>
  <si>
    <r>
      <rPr>
        <u/>
        <sz val="9"/>
        <color rgb="FF1155CC"/>
        <rFont val="Arial, sans-serif"/>
      </rPr>
      <t>https://maps.google.com/?q=27.1826973,49.5239421</t>
    </r>
  </si>
  <si>
    <t>CUS135</t>
  </si>
  <si>
    <t>سوبر ملتقى التوفير</t>
  </si>
  <si>
    <t>27.1770772, 49.5162294</t>
  </si>
  <si>
    <r>
      <rPr>
        <u/>
        <sz val="9"/>
        <color rgb="FF1155CC"/>
        <rFont val="Arial, sans-serif"/>
      </rPr>
      <t>https://maps.google.com/?q=27.1770772,49.5162294</t>
    </r>
  </si>
  <si>
    <t>CUS136</t>
  </si>
  <si>
    <t>خالد</t>
  </si>
  <si>
    <t>27.1611443, 49.5278478</t>
  </si>
  <si>
    <r>
      <rPr>
        <u/>
        <sz val="9"/>
        <color rgb="FF1155CC"/>
        <rFont val="Arial, sans-serif"/>
      </rPr>
      <t>https://maps.google.com/?q=27.1611443,49.5278478</t>
    </r>
  </si>
  <si>
    <t>CUS137</t>
  </si>
  <si>
    <t>مركز منير</t>
  </si>
  <si>
    <t>ابو ساري</t>
  </si>
  <si>
    <t>27.1512267, 49.5372683</t>
  </si>
  <si>
    <r>
      <rPr>
        <u/>
        <sz val="9"/>
        <color rgb="FF1155CC"/>
        <rFont val="Arial, sans-serif"/>
      </rPr>
      <t>https://maps.google.com/?q=27.1512267,49.5372683</t>
    </r>
  </si>
  <si>
    <t>CUS138</t>
  </si>
  <si>
    <t>سلال الشرقية</t>
  </si>
  <si>
    <t>حي الاندلس</t>
  </si>
  <si>
    <t>27.1326237, 49.5392858</t>
  </si>
  <si>
    <r>
      <rPr>
        <u/>
        <sz val="9"/>
        <color rgb="FF1155CC"/>
        <rFont val="Arial, sans-serif"/>
      </rPr>
      <t>https://maps.google.com/?q=27.1326237,49.5392858</t>
    </r>
  </si>
  <si>
    <t>CUS139</t>
  </si>
  <si>
    <t>شركة نجوم الخيرات</t>
  </si>
  <si>
    <t>27.128167, 49.5248294</t>
  </si>
  <si>
    <r>
      <rPr>
        <u/>
        <sz val="9"/>
        <color rgb="FF1155CC"/>
        <rFont val="Arial, sans-serif"/>
      </rPr>
      <t>https://maps.google.com/?q=27.128167,49.5248294</t>
    </r>
  </si>
  <si>
    <t>CUS140</t>
  </si>
  <si>
    <t>27.1201924, 49.5334119</t>
  </si>
  <si>
    <r>
      <rPr>
        <u/>
        <sz val="9"/>
        <color rgb="FF1155CC"/>
        <rFont val="Arial, sans-serif"/>
      </rPr>
      <t>https://maps.google.com/?q=27.1201924,49.5334119</t>
    </r>
  </si>
  <si>
    <t>CUS141</t>
  </si>
  <si>
    <t>أسواق سالك الطريق</t>
  </si>
  <si>
    <t>اسامه احمد ناجي</t>
  </si>
  <si>
    <t>26.8348234, 49.5623904</t>
  </si>
  <si>
    <r>
      <rPr>
        <u/>
        <sz val="9"/>
        <color rgb="FF1155CC"/>
        <rFont val="Arial, sans-serif"/>
      </rPr>
      <t>https://maps.google.com/?q=26.8348234,49.5623904</t>
    </r>
  </si>
  <si>
    <t>CUS142</t>
  </si>
  <si>
    <t>26.7050141, 49.7606455</t>
  </si>
  <si>
    <r>
      <rPr>
        <u/>
        <sz val="9"/>
        <color rgb="FF1155CC"/>
        <rFont val="Arial, sans-serif"/>
      </rPr>
      <t>https://maps.google.com/?q=26.7050141,49.7606455</t>
    </r>
  </si>
  <si>
    <t>CUS143</t>
  </si>
  <si>
    <t>شركة مروج الدقة</t>
  </si>
  <si>
    <t>26.672056, 49.792837</t>
  </si>
  <si>
    <r>
      <rPr>
        <u/>
        <sz val="9"/>
        <color rgb="FF1155CC"/>
        <rFont val="Arial, sans-serif"/>
      </rPr>
      <t>https://maps.google.com/?q=26.672056,49.792837</t>
    </r>
  </si>
  <si>
    <t>CUS144</t>
  </si>
  <si>
    <t>ريما ماركت</t>
  </si>
  <si>
    <t>26.6252033, 49.82311</t>
  </si>
  <si>
    <r>
      <rPr>
        <u/>
        <sz val="9"/>
        <color rgb="FF1155CC"/>
        <rFont val="Arial, sans-serif"/>
      </rPr>
      <t>https://maps.google.com/?q=26.6252033,49.82311</t>
    </r>
  </si>
  <si>
    <t>CUS145</t>
  </si>
  <si>
    <t>كيان ماركت</t>
  </si>
  <si>
    <t>26.4873533, 49.9746417</t>
  </si>
  <si>
    <r>
      <rPr>
        <u/>
        <sz val="9"/>
        <color rgb="FF1155CC"/>
        <rFont val="Arial, sans-serif"/>
      </rPr>
      <t>https://maps.google.com/?q=26.4873533,49.9746417</t>
    </r>
  </si>
  <si>
    <t>CUS146</t>
  </si>
  <si>
    <t>26.4764017, 49.9958283</t>
  </si>
  <si>
    <r>
      <rPr>
        <u/>
        <sz val="9"/>
        <color rgb="FF1155CC"/>
        <rFont val="Arial, sans-serif"/>
      </rPr>
      <t>https://maps.google.com/?q=26.4764017,49.9958283</t>
    </r>
  </si>
  <si>
    <t>CUS147</t>
  </si>
  <si>
    <t>تموينات التاج الذهبي</t>
  </si>
  <si>
    <t>صادق</t>
  </si>
  <si>
    <t>26.4670185, 50.0183746</t>
  </si>
  <si>
    <r>
      <rPr>
        <u/>
        <sz val="9"/>
        <color rgb="FF1155CC"/>
        <rFont val="Arial, sans-serif"/>
      </rPr>
      <t>https://maps.google.com/?q=26.4670185,50.0183746</t>
    </r>
  </si>
  <si>
    <t>CUS148</t>
  </si>
  <si>
    <t>27.0915752, 49.5493499</t>
  </si>
  <si>
    <r>
      <rPr>
        <u/>
        <sz val="9"/>
        <color rgb="FF1155CC"/>
        <rFont val="Arial, sans-serif"/>
      </rPr>
      <t>https://maps.google.com/?q=27.0915752,49.5493499</t>
    </r>
  </si>
  <si>
    <t>CUS149</t>
  </si>
  <si>
    <t>27.0969651, 49.5438925</t>
  </si>
  <si>
    <r>
      <rPr>
        <u/>
        <sz val="9"/>
        <color rgb="FF1155CC"/>
        <rFont val="Arial, sans-serif"/>
      </rPr>
      <t>https://maps.google.com/?q=27.0969651,49.5438925</t>
    </r>
  </si>
  <si>
    <t>CUS150</t>
  </si>
  <si>
    <t>تموينات شهلاء العرب</t>
  </si>
  <si>
    <t>27.097015, 49.52809</t>
  </si>
  <si>
    <r>
      <rPr>
        <u/>
        <sz val="9"/>
        <color rgb="FF1155CC"/>
        <rFont val="Arial, sans-serif"/>
      </rPr>
      <t>https://maps.google.com/?q=27.097015,49.52809</t>
    </r>
  </si>
  <si>
    <t>CUS151</t>
  </si>
  <si>
    <t>تموينات اطوار وحلا</t>
  </si>
  <si>
    <t>27.0923373, 49.524825</t>
  </si>
  <si>
    <r>
      <rPr>
        <u/>
        <sz val="9"/>
        <color rgb="FF1155CC"/>
        <rFont val="Arial, sans-serif"/>
      </rPr>
      <t>https://maps.google.com/?q=27.0923373,49.524825</t>
    </r>
  </si>
  <si>
    <t>CUS152</t>
  </si>
  <si>
    <t>سوبر ماركت الراكبة</t>
  </si>
  <si>
    <t>ابو خالد</t>
  </si>
  <si>
    <t>27.083953, 49.5171411</t>
  </si>
  <si>
    <r>
      <rPr>
        <u/>
        <sz val="9"/>
        <color rgb="FF1155CC"/>
        <rFont val="Arial, sans-serif"/>
      </rPr>
      <t>https://maps.google.com/?q=27.083953,49.5171411</t>
    </r>
  </si>
  <si>
    <t>CUS153</t>
  </si>
  <si>
    <t>المركز الرئيسي مركز منير للتسويق</t>
  </si>
  <si>
    <t>27.0804475, 49.5139445</t>
  </si>
  <si>
    <r>
      <rPr>
        <u/>
        <sz val="9"/>
        <color rgb="FF1155CC"/>
        <rFont val="Arial, sans-serif"/>
      </rPr>
      <t>https://maps.google.com/?q=27.0804475,49.5139445</t>
    </r>
  </si>
  <si>
    <t>CUS154</t>
  </si>
  <si>
    <t>اسواق ديار شبرا</t>
  </si>
  <si>
    <t>27.0852319, 49.5117539</t>
  </si>
  <si>
    <r>
      <rPr>
        <u/>
        <sz val="9"/>
        <color rgb="FF1155CC"/>
        <rFont val="Arial, sans-serif"/>
      </rPr>
      <t>https://maps.google.com/?q=27.0852319,49.5117539</t>
    </r>
  </si>
  <si>
    <t>CUS155</t>
  </si>
  <si>
    <t>اسواق سلة دوم</t>
  </si>
  <si>
    <t>27.0849741, 49.5075432</t>
  </si>
  <si>
    <r>
      <rPr>
        <u/>
        <sz val="9"/>
        <color rgb="FF1155CC"/>
        <rFont val="Arial, sans-serif"/>
      </rPr>
      <t>https://maps.google.com/?q=27.0849741,49.5075432</t>
    </r>
  </si>
  <si>
    <t>CUS156</t>
  </si>
  <si>
    <t>مؤسسة ملتقى التوفير</t>
  </si>
  <si>
    <t>معمر</t>
  </si>
  <si>
    <t>27.0901096, 49.5088551</t>
  </si>
  <si>
    <r>
      <rPr>
        <u/>
        <sz val="9"/>
        <color rgb="FF1155CC"/>
        <rFont val="Arial, sans-serif"/>
      </rPr>
      <t>https://maps.google.com/?q=27.0901096,49.5088551</t>
    </r>
  </si>
  <si>
    <t>CUS157</t>
  </si>
  <si>
    <t>مؤسسة سلال الصنوبر</t>
  </si>
  <si>
    <t>حذيفة</t>
  </si>
  <si>
    <t>27.0958467, 49.5075483</t>
  </si>
  <si>
    <r>
      <rPr>
        <u/>
        <sz val="9"/>
        <color rgb="FF1155CC"/>
        <rFont val="Arial, sans-serif"/>
      </rPr>
      <t>https://maps.google.com/?q=27.0958467,49.5075483</t>
    </r>
  </si>
  <si>
    <t>CUS158</t>
  </si>
  <si>
    <t>بدر الحدري</t>
  </si>
  <si>
    <t>27.1092736, 49.5068245</t>
  </si>
  <si>
    <r>
      <rPr>
        <u/>
        <sz val="9"/>
        <color rgb="FF1155CC"/>
        <rFont val="Arial, sans-serif"/>
      </rPr>
      <t>https://maps.google.com/?q=27.1092736,49.5068245</t>
    </r>
  </si>
  <si>
    <t>CUS159</t>
  </si>
  <si>
    <t>شركة نرجس العذاء</t>
  </si>
  <si>
    <t>27.1010724, 49.5174897</t>
  </si>
  <si>
    <r>
      <rPr>
        <u/>
        <sz val="9"/>
        <color rgb="FF1155CC"/>
        <rFont val="Arial, sans-serif"/>
      </rPr>
      <t>https://maps.google.com/?q=27.1010724,49.5174897</t>
    </r>
  </si>
  <si>
    <t>CUS160</t>
  </si>
  <si>
    <t>فرع مركز منير</t>
  </si>
  <si>
    <t>27.1020333, 49.5210633</t>
  </si>
  <si>
    <r>
      <rPr>
        <u/>
        <sz val="9"/>
        <color rgb="FF1155CC"/>
        <rFont val="Arial, sans-serif"/>
      </rPr>
      <t>https://maps.google.com/?q=27.1020333,49.5210633</t>
    </r>
  </si>
  <si>
    <t>CUS161</t>
  </si>
  <si>
    <t>محمد صالح</t>
  </si>
  <si>
    <t>27.1121356, 49.5331134</t>
  </si>
  <si>
    <r>
      <rPr>
        <u/>
        <sz val="9"/>
        <color rgb="FF1155CC"/>
        <rFont val="Arial, sans-serif"/>
      </rPr>
      <t>https://maps.google.com/?q=27.1121356,49.5331134</t>
    </r>
  </si>
  <si>
    <t>CUS162</t>
  </si>
  <si>
    <t>أسواق رواد عالم الغذاء</t>
  </si>
  <si>
    <t>صلاح</t>
  </si>
  <si>
    <t>27.1115744, 49.5441703</t>
  </si>
  <si>
    <r>
      <rPr>
        <u/>
        <sz val="9"/>
        <color rgb="FF1155CC"/>
        <rFont val="Arial, sans-serif"/>
      </rPr>
      <t>https://maps.google.com/?q=27.1115744,49.5441703</t>
    </r>
  </si>
  <si>
    <t>CUS163</t>
  </si>
  <si>
    <t>اسواق صالة الجبيل الاقتصادية</t>
  </si>
  <si>
    <t>سامح</t>
  </si>
  <si>
    <t>27.1198467, 49.5486067</t>
  </si>
  <si>
    <r>
      <rPr>
        <u/>
        <sz val="9"/>
        <color rgb="FF1155CC"/>
        <rFont val="Arial, sans-serif"/>
      </rPr>
      <t>https://maps.google.com/?q=27.1198467,49.5486067</t>
    </r>
  </si>
  <si>
    <t>CUS164</t>
  </si>
  <si>
    <t>فهمي شركة أسواق نرجس الجبيل</t>
  </si>
  <si>
    <t>27.1213992, 49.5517653</t>
  </si>
  <si>
    <r>
      <rPr>
        <u/>
        <sz val="9"/>
        <color rgb="FF1155CC"/>
        <rFont val="Arial, sans-serif"/>
      </rPr>
      <t>https://maps.google.com/?q=27.1213992,49.5517653</t>
    </r>
  </si>
  <si>
    <t>CUS165</t>
  </si>
  <si>
    <t>ديما ماركت</t>
  </si>
  <si>
    <t>27.1214834, 49.5528238</t>
  </si>
  <si>
    <r>
      <rPr>
        <u/>
        <sz val="9"/>
        <color rgb="FF1155CC"/>
        <rFont val="Arial, sans-serif"/>
      </rPr>
      <t>https://maps.google.com/?q=27.1214834,49.5528238</t>
    </r>
  </si>
  <si>
    <t>CUS166</t>
  </si>
  <si>
    <t>محطة الخنيني</t>
  </si>
  <si>
    <t>27.124655, 49.5526617</t>
  </si>
  <si>
    <r>
      <rPr>
        <u/>
        <sz val="9"/>
        <color rgb="FF1155CC"/>
        <rFont val="Arial, sans-serif"/>
      </rPr>
      <t>https://maps.google.com/?q=27.124655,49.5526617</t>
    </r>
  </si>
  <si>
    <t>CUS167</t>
  </si>
  <si>
    <t>اسواق مركزية</t>
  </si>
  <si>
    <t>حي الاحساء</t>
  </si>
  <si>
    <t>27.1288556, 49.5545513</t>
  </si>
  <si>
    <r>
      <rPr>
        <u/>
        <sz val="9"/>
        <color rgb="FF1155CC"/>
        <rFont val="Arial, sans-serif"/>
      </rPr>
      <t>https://maps.google.com/?q=27.1288556,49.5545513</t>
    </r>
  </si>
  <si>
    <t>CUS168</t>
  </si>
  <si>
    <t>سوبر ماركت التاج الابيض</t>
  </si>
  <si>
    <t>27.1314923, 49.5589717</t>
  </si>
  <si>
    <r>
      <rPr>
        <u/>
        <sz val="9"/>
        <color rgb="FF1155CC"/>
        <rFont val="Arial, sans-serif"/>
      </rPr>
      <t>https://maps.google.com/?q=27.1314923,49.5589717</t>
    </r>
  </si>
  <si>
    <t>CUS169</t>
  </si>
  <si>
    <t>27.1125104, 49.5729525</t>
  </si>
  <si>
    <r>
      <rPr>
        <u/>
        <sz val="9"/>
        <color rgb="FF1155CC"/>
        <rFont val="Arial, sans-serif"/>
      </rPr>
      <t>https://maps.google.com/?q=27.1125104,49.5729525</t>
    </r>
  </si>
  <si>
    <t>CUS170</t>
  </si>
  <si>
    <t>مركز منير للتسويق</t>
  </si>
  <si>
    <t>27.1219081, 49.5634493</t>
  </si>
  <si>
    <r>
      <rPr>
        <u/>
        <sz val="9"/>
        <color rgb="FF1155CC"/>
        <rFont val="Arial, sans-serif"/>
      </rPr>
      <t>https://maps.google.com/?q=27.1219081,49.5634493</t>
    </r>
  </si>
  <si>
    <t>CUS171</t>
  </si>
  <si>
    <t>سوبر ماركت شركة الذهبي الشرقي</t>
  </si>
  <si>
    <t>صالح احمد</t>
  </si>
  <si>
    <t>27.1124648, 49.5555638</t>
  </si>
  <si>
    <r>
      <rPr>
        <u/>
        <sz val="9"/>
        <color rgb="FF1155CC"/>
        <rFont val="Arial, sans-serif"/>
      </rPr>
      <t>https://maps.google.com/?q=27.1124648,49.5555638</t>
    </r>
  </si>
  <si>
    <t>CUS172</t>
  </si>
  <si>
    <t>بقالة تاج الدخل</t>
  </si>
  <si>
    <t>26.9683466, 49.6396521</t>
  </si>
  <si>
    <r>
      <rPr>
        <u/>
        <sz val="9"/>
        <color rgb="FF1155CC"/>
        <rFont val="Arial, sans-serif"/>
      </rPr>
      <t>https://maps.google.com/?q=26.9683466,49.6396521</t>
    </r>
  </si>
  <si>
    <t>CUS173</t>
  </si>
  <si>
    <t>تموينات الفجر</t>
  </si>
  <si>
    <t>26.9638283, 49.6441583</t>
  </si>
  <si>
    <r>
      <rPr>
        <u/>
        <sz val="9"/>
        <color rgb="FF1155CC"/>
        <rFont val="Arial, sans-serif"/>
      </rPr>
      <t>https://maps.google.com/?q=26.9638283,49.6441583</t>
    </r>
  </si>
  <si>
    <t>CUS174</t>
  </si>
  <si>
    <t>تموينات ديفاو ايجل</t>
  </si>
  <si>
    <t>26.9867464, 49.6457283</t>
  </si>
  <si>
    <r>
      <rPr>
        <u/>
        <sz val="9"/>
        <color rgb="FF1155CC"/>
        <rFont val="Arial, sans-serif"/>
      </rPr>
      <t>https://maps.google.com/?q=26.9867464,49.6457283</t>
    </r>
  </si>
  <si>
    <t>CUS175</t>
  </si>
  <si>
    <t>26.9893483, 49.623465</t>
  </si>
  <si>
    <r>
      <rPr>
        <u/>
        <sz val="9"/>
        <color rgb="FF1155CC"/>
        <rFont val="Arial, sans-serif"/>
      </rPr>
      <t>https://maps.google.com/?q=26.9893483,49.623465</t>
    </r>
  </si>
  <si>
    <t>CUS176</t>
  </si>
  <si>
    <t>المركز الرئيسي تموينات أسواق الجبيل</t>
  </si>
  <si>
    <t>27.0234233, 49.633605</t>
  </si>
  <si>
    <r>
      <rPr>
        <u/>
        <sz val="9"/>
        <color rgb="FF1155CC"/>
        <rFont val="Arial, sans-serif"/>
      </rPr>
      <t>https://maps.google.com/?q=27.0234233,49.633605</t>
    </r>
  </si>
  <si>
    <t>CUS177</t>
  </si>
  <si>
    <t>27.0220745, 49.6341443</t>
  </si>
  <si>
    <r>
      <rPr>
        <u/>
        <sz val="9"/>
        <color rgb="FF1155CC"/>
        <rFont val="Arial, sans-serif"/>
      </rPr>
      <t>https://maps.google.com/?q=27.0220745,49.6341443</t>
    </r>
  </si>
  <si>
    <t>CUS178</t>
  </si>
  <si>
    <t>عزم ماركت</t>
  </si>
  <si>
    <t>27.0027518, 49.6353911</t>
  </si>
  <si>
    <r>
      <rPr>
        <u/>
        <sz val="9"/>
        <color rgb="FF1155CC"/>
        <rFont val="Arial, sans-serif"/>
      </rPr>
      <t>https://maps.google.com/?q=27.0027518,49.6353911</t>
    </r>
  </si>
  <si>
    <t>CUS179</t>
  </si>
  <si>
    <t>شركة توفير الغذاء</t>
  </si>
  <si>
    <t>27.0030767, 49.6404433</t>
  </si>
  <si>
    <r>
      <rPr>
        <u/>
        <sz val="9"/>
        <color rgb="FF1155CC"/>
        <rFont val="Arial, sans-serif"/>
      </rPr>
      <t>https://maps.google.com/?q=27.0030767,49.6404433</t>
    </r>
  </si>
  <si>
    <t>CUS180</t>
  </si>
  <si>
    <t>طريق الظهران الجبيل</t>
  </si>
  <si>
    <t>محطة الدريس</t>
  </si>
  <si>
    <t>26.4409167, 50.04982</t>
  </si>
  <si>
    <r>
      <rPr>
        <u/>
        <sz val="9"/>
        <color rgb="FF1155CC"/>
        <rFont val="Arial, sans-serif"/>
      </rPr>
      <t>https://maps.google.com/?q=26.4409167,50.04982</t>
    </r>
  </si>
  <si>
    <t>CUS181</t>
  </si>
  <si>
    <t>26.6970713, 49.9027387</t>
  </si>
  <si>
    <r>
      <rPr>
        <u/>
        <sz val="9"/>
        <color rgb="FF1155CC"/>
        <rFont val="Arial, sans-serif"/>
      </rPr>
      <t>https://maps.google.com/?q=26.6970713,49.9027387</t>
    </r>
  </si>
  <si>
    <t>CUS182</t>
  </si>
  <si>
    <t>26.7409426, 49.8703848</t>
  </si>
  <si>
    <r>
      <rPr>
        <u/>
        <sz val="9"/>
        <color rgb="FF1155CC"/>
        <rFont val="Arial, sans-serif"/>
      </rPr>
      <t>https://maps.google.com/?q=26.7409426,49.8703848</t>
    </r>
  </si>
  <si>
    <t>CUS183</t>
  </si>
  <si>
    <t>اسواق اروى محمد الصيعري</t>
  </si>
  <si>
    <t>26.8770388, 49.7488234</t>
  </si>
  <si>
    <r>
      <rPr>
        <u/>
        <sz val="9"/>
        <color rgb="FF1155CC"/>
        <rFont val="Arial, sans-serif"/>
      </rPr>
      <t>https://maps.google.com/?q=26.8770388,49.7488234</t>
    </r>
  </si>
  <si>
    <t>CUS184</t>
  </si>
  <si>
    <t>26.9285519, 49.7036064</t>
  </si>
  <si>
    <r>
      <rPr>
        <u/>
        <sz val="9"/>
        <color rgb="FF1155CC"/>
        <rFont val="Arial, sans-serif"/>
      </rPr>
      <t>https://maps.google.com/?q=26.9285519,49.7036064</t>
    </r>
  </si>
  <si>
    <t>CUS185</t>
  </si>
  <si>
    <t>26.9511778, 49.6592325</t>
  </si>
  <si>
    <r>
      <rPr>
        <u/>
        <sz val="9"/>
        <color rgb="FF1155CC"/>
        <rFont val="Arial, sans-serif"/>
      </rPr>
      <t>https://maps.google.com/?q=26.9511778,49.6592325</t>
    </r>
  </si>
  <si>
    <t>CUS186</t>
  </si>
  <si>
    <t>26.9712683, 49.64765</t>
  </si>
  <si>
    <r>
      <rPr>
        <u/>
        <sz val="9"/>
        <color rgb="FF1155CC"/>
        <rFont val="Arial, sans-serif"/>
      </rPr>
      <t>https://maps.google.com/?q=26.9712683,49.64765</t>
    </r>
  </si>
  <si>
    <t>CUS187</t>
  </si>
  <si>
    <t>تموينات كنده</t>
  </si>
  <si>
    <t>ابو ياسين</t>
  </si>
  <si>
    <t>26.9743867, 49.646865</t>
  </si>
  <si>
    <r>
      <rPr>
        <u/>
        <sz val="9"/>
        <color rgb="FF1155CC"/>
        <rFont val="Arial, sans-serif"/>
      </rPr>
      <t>https://maps.google.com/?q=26.9743867,49.646865</t>
    </r>
  </si>
  <si>
    <t>CUS188</t>
  </si>
  <si>
    <t>مؤسسة اسرار التغذية</t>
  </si>
  <si>
    <t>26.9824783, 49.64742</t>
  </si>
  <si>
    <r>
      <rPr>
        <u/>
        <sz val="9"/>
        <color rgb="FF1155CC"/>
        <rFont val="Arial, sans-serif"/>
      </rPr>
      <t>https://maps.google.com/?q=26.9824783,49.64742</t>
    </r>
  </si>
  <si>
    <t>CUS189</t>
  </si>
  <si>
    <t>تموينات راشن طيبة</t>
  </si>
  <si>
    <t>26.9797633, 49.6529433</t>
  </si>
  <si>
    <r>
      <rPr>
        <u/>
        <sz val="9"/>
        <color rgb="FF1155CC"/>
        <rFont val="Arial, sans-serif"/>
      </rPr>
      <t>https://maps.google.com/?q=26.9797633,49.6529433</t>
    </r>
  </si>
  <si>
    <t>CUS190</t>
  </si>
  <si>
    <t>27.0017976, 49.6553776</t>
  </si>
  <si>
    <r>
      <rPr>
        <u/>
        <sz val="9"/>
        <color rgb="FF1155CC"/>
        <rFont val="Arial, sans-serif"/>
      </rPr>
      <t>https://maps.google.com/?q=27.0017976,49.6553776</t>
    </r>
  </si>
  <si>
    <t>CUS191</t>
  </si>
  <si>
    <t>شركه رشدي ابو عينين</t>
  </si>
  <si>
    <t>26.9922588, 49.6575698</t>
  </si>
  <si>
    <r>
      <rPr>
        <u/>
        <sz val="9"/>
        <color rgb="FF1155CC"/>
        <rFont val="Arial, sans-serif"/>
      </rPr>
      <t>https://maps.google.com/?q=26.9922588,49.6575698</t>
    </r>
  </si>
  <si>
    <t>CUS192</t>
  </si>
  <si>
    <t>تموينات بركة الدخل</t>
  </si>
  <si>
    <t>ابو عدي</t>
  </si>
  <si>
    <t>CUS193</t>
  </si>
  <si>
    <t>بقالة قطوف الدخل</t>
  </si>
  <si>
    <t>26.9840157, 49.6592477</t>
  </si>
  <si>
    <r>
      <rPr>
        <u/>
        <sz val="9"/>
        <color rgb="FF1155CC"/>
        <rFont val="Arial, sans-serif"/>
      </rPr>
      <t>https://maps.google.com/?q=26.9840157,49.6592477</t>
    </r>
  </si>
  <si>
    <t>CUS194</t>
  </si>
  <si>
    <t>مؤسسة سالم عقيل المنهالي</t>
  </si>
  <si>
    <t>26.9791874, 49.6552969</t>
  </si>
  <si>
    <r>
      <rPr>
        <u/>
        <sz val="9"/>
        <color rgb="FF1155CC"/>
        <rFont val="Arial, sans-serif"/>
      </rPr>
      <t>https://maps.google.com/?q=26.9791874,49.6552969</t>
    </r>
  </si>
  <si>
    <t>CUS195</t>
  </si>
  <si>
    <t>اسواق نجوم هوازن</t>
  </si>
  <si>
    <t>26.9802217, 49.66574</t>
  </si>
  <si>
    <r>
      <rPr>
        <u/>
        <sz val="9"/>
        <color rgb="FF1155CC"/>
        <rFont val="Arial, sans-serif"/>
      </rPr>
      <t>https://maps.google.com/?q=26.9802217,49.66574</t>
    </r>
  </si>
  <si>
    <t>CUS196</t>
  </si>
  <si>
    <t>Adماركت</t>
  </si>
  <si>
    <t>26.9644409, 49.6683692</t>
  </si>
  <si>
    <r>
      <rPr>
        <u/>
        <sz val="9"/>
        <color rgb="FF1155CC"/>
        <rFont val="Arial, sans-serif"/>
      </rPr>
      <t>https://maps.google.com/?q=26.9644409,49.6683692</t>
    </r>
  </si>
  <si>
    <t>CUS197</t>
  </si>
  <si>
    <t>26.9623219, 49.673854</t>
  </si>
  <si>
    <r>
      <rPr>
        <u/>
        <sz val="9"/>
        <color rgb="FF1155CC"/>
        <rFont val="Arial, sans-serif"/>
      </rPr>
      <t>https://maps.google.com/?q=26.9623219,49.673854</t>
    </r>
  </si>
  <si>
    <t>CUS198</t>
  </si>
  <si>
    <t>26.9605567, 49.6749967</t>
  </si>
  <si>
    <r>
      <rPr>
        <u/>
        <sz val="9"/>
        <color rgb="FF1155CC"/>
        <rFont val="Arial, sans-serif"/>
      </rPr>
      <t>https://maps.google.com/?q=26.9605567,49.6749967</t>
    </r>
  </si>
  <si>
    <t>CUS199</t>
  </si>
  <si>
    <t>سوبر ماركت شرما العربية</t>
  </si>
  <si>
    <t>26.9588017, 49.6754283</t>
  </si>
  <si>
    <r>
      <rPr>
        <u/>
        <sz val="9"/>
        <color rgb="FF1155CC"/>
        <rFont val="Arial, sans-serif"/>
      </rPr>
      <t>https://maps.google.com/?q=26.9588017,49.6754283</t>
    </r>
  </si>
  <si>
    <t>CUS200</t>
  </si>
  <si>
    <t>شركة اسواق نرجس الجبيل</t>
  </si>
  <si>
    <t>عبدالحميد</t>
  </si>
  <si>
    <t>26.95864, 49.66538</t>
  </si>
  <si>
    <r>
      <rPr>
        <u/>
        <sz val="9"/>
        <color rgb="FF1155CC"/>
        <rFont val="Arial, sans-serif"/>
      </rPr>
      <t>https://maps.google.com/?q=26.95864,49.66538</t>
    </r>
  </si>
  <si>
    <t>CUS201</t>
  </si>
  <si>
    <t>26.9497467, 49.6665717</t>
  </si>
  <si>
    <r>
      <rPr>
        <u/>
        <sz val="9"/>
        <color rgb="FF1155CC"/>
        <rFont val="Arial, sans-serif"/>
      </rPr>
      <t>https://maps.google.com/?q=26.9497467,49.6665717</t>
    </r>
  </si>
  <si>
    <t>CUS202</t>
  </si>
  <si>
    <t>اسواق سلال الشرقية</t>
  </si>
  <si>
    <t>26.92522, 49.7263683</t>
  </si>
  <si>
    <r>
      <rPr>
        <u/>
        <sz val="9"/>
        <color rgb="FF1155CC"/>
        <rFont val="Arial, sans-serif"/>
      </rPr>
      <t>https://maps.google.com/?q=26.92522,49.7263683</t>
    </r>
  </si>
  <si>
    <t>CUS203</t>
  </si>
  <si>
    <t>رفيت مارت</t>
  </si>
  <si>
    <t>ابو سلطان</t>
  </si>
  <si>
    <t>26.9338033, 49.722885</t>
  </si>
  <si>
    <r>
      <rPr>
        <u/>
        <sz val="9"/>
        <color rgb="FF1155CC"/>
        <rFont val="Arial, sans-serif"/>
      </rPr>
      <t>https://maps.google.com/?q=26.9338033,49.722885</t>
    </r>
  </si>
  <si>
    <t>CUS204</t>
  </si>
  <si>
    <t>اسواق ومخابز نرجس</t>
  </si>
  <si>
    <t>26.9312177, 49.7185831</t>
  </si>
  <si>
    <r>
      <rPr>
        <u/>
        <sz val="9"/>
        <color rgb="FF1155CC"/>
        <rFont val="Arial, sans-serif"/>
      </rPr>
      <t>https://maps.google.com/?q=26.9312177,49.7185831</t>
    </r>
  </si>
  <si>
    <t>CUS205</t>
  </si>
  <si>
    <t>26.9294738, 49.7164087</t>
  </si>
  <si>
    <r>
      <rPr>
        <u/>
        <sz val="9"/>
        <color rgb="FF1155CC"/>
        <rFont val="Arial, sans-serif"/>
      </rPr>
      <t>https://maps.google.com/?q=26.9294738,49.7164087</t>
    </r>
  </si>
  <si>
    <t>CUS206</t>
  </si>
  <si>
    <t>اسواق خير الطبيعة</t>
  </si>
  <si>
    <t>26.9277833, 49.713975</t>
  </si>
  <si>
    <r>
      <rPr>
        <u/>
        <sz val="9"/>
        <color rgb="FF1155CC"/>
        <rFont val="Arial, sans-serif"/>
      </rPr>
      <t>https://maps.google.com/?q=26.9277833,49.713975</t>
    </r>
  </si>
  <si>
    <t>CUS207</t>
  </si>
  <si>
    <t>تموينات شاطئ الجبيل</t>
  </si>
  <si>
    <t>26.9044034, 49.7246609</t>
  </si>
  <si>
    <r>
      <rPr>
        <u/>
        <sz val="9"/>
        <color rgb="FF1155CC"/>
        <rFont val="Arial, sans-serif"/>
      </rPr>
      <t>https://maps.google.com/?q=26.9044034,49.7246609</t>
    </r>
  </si>
  <si>
    <t>CUS208</t>
  </si>
  <si>
    <t>تموينات اركان الاحلام</t>
  </si>
  <si>
    <t>صالح</t>
  </si>
  <si>
    <t>26.8812534, 49.7558221</t>
  </si>
  <si>
    <r>
      <rPr>
        <u/>
        <sz val="9"/>
        <color rgb="FF1155CC"/>
        <rFont val="Arial, sans-serif"/>
      </rPr>
      <t>https://maps.google.com/?q=26.8812534,49.7558221</t>
    </r>
  </si>
  <si>
    <t>CUS209</t>
  </si>
  <si>
    <t>26.8542179, 49.7863831</t>
  </si>
  <si>
    <r>
      <rPr>
        <u/>
        <sz val="9"/>
        <color rgb="FF1155CC"/>
        <rFont val="Arial, sans-serif"/>
      </rPr>
      <t>https://maps.google.com/?q=26.8542179,49.7863831</t>
    </r>
  </si>
  <si>
    <t>CUS210</t>
  </si>
  <si>
    <t>تموينات عمر الصيعري</t>
  </si>
  <si>
    <t>26.8545517, 49.79771</t>
  </si>
  <si>
    <r>
      <rPr>
        <u/>
        <sz val="9"/>
        <color rgb="FF1155CC"/>
        <rFont val="Arial, sans-serif"/>
      </rPr>
      <t>https://maps.google.com/?q=26.8545517,49.79771</t>
    </r>
  </si>
  <si>
    <t>CUS211</t>
  </si>
  <si>
    <t>اسواق بيت الغذاء الراقي</t>
  </si>
  <si>
    <t>26.8443133, 49.79543</t>
  </si>
  <si>
    <r>
      <rPr>
        <u/>
        <sz val="9"/>
        <color rgb="FF1155CC"/>
        <rFont val="Arial, sans-serif"/>
      </rPr>
      <t>https://maps.google.com/?q=26.8443133,49.79543</t>
    </r>
  </si>
  <si>
    <t>CUS212</t>
  </si>
  <si>
    <t>تموينات ذوق الخيال</t>
  </si>
  <si>
    <t>26.7882969, 49.8464221</t>
  </si>
  <si>
    <r>
      <rPr>
        <u/>
        <sz val="9"/>
        <color rgb="FF1155CC"/>
        <rFont val="Arial, sans-serif"/>
      </rPr>
      <t>https://maps.google.com/?q=26.7882969,49.8464221</t>
    </r>
  </si>
  <si>
    <t>CUS213</t>
  </si>
  <si>
    <t>26.7237398, 49.8850869</t>
  </si>
  <si>
    <r>
      <rPr>
        <u/>
        <sz val="9"/>
        <color rgb="FF1155CC"/>
        <rFont val="Arial, sans-serif"/>
      </rPr>
      <t>https://maps.google.com/?q=26.7237398,49.8850869</t>
    </r>
  </si>
  <si>
    <t>CUS214</t>
  </si>
  <si>
    <t>26.6701464, 49.9246606</t>
  </si>
  <si>
    <r>
      <rPr>
        <u/>
        <sz val="9"/>
        <color rgb="FF1155CC"/>
        <rFont val="Arial, sans-serif"/>
      </rPr>
      <t>https://maps.google.com/?q=26.6701464,49.9246606</t>
    </r>
  </si>
  <si>
    <t>CUS215</t>
  </si>
  <si>
    <t>26.6401967, 49.928845</t>
  </si>
  <si>
    <r>
      <rPr>
        <u/>
        <sz val="9"/>
        <color rgb="FF1155CC"/>
        <rFont val="Arial, sans-serif"/>
      </rPr>
      <t>https://maps.google.com/?q=26.6401967,49.928845</t>
    </r>
  </si>
  <si>
    <t>CUS216</t>
  </si>
  <si>
    <t>بقالة تقاطع الحزم</t>
  </si>
  <si>
    <t>26.638559, 49.9175204</t>
  </si>
  <si>
    <r>
      <rPr>
        <u/>
        <sz val="9"/>
        <color rgb="FF1155CC"/>
        <rFont val="Arial, sans-serif"/>
      </rPr>
      <t>https://maps.google.com/?q=26.638559,49.9175204</t>
    </r>
  </si>
  <si>
    <t>CUS217</t>
  </si>
  <si>
    <t>شركة تخفيضات بستان العائلة</t>
  </si>
  <si>
    <t>ابو حمزه</t>
  </si>
  <si>
    <t>26.639079, 49.9083887</t>
  </si>
  <si>
    <r>
      <rPr>
        <u/>
        <sz val="9"/>
        <color rgb="FF1155CC"/>
        <rFont val="Arial, sans-serif"/>
      </rPr>
      <t>https://maps.google.com/?q=26.639079,49.9083887</t>
    </r>
  </si>
  <si>
    <t>CUS218</t>
  </si>
  <si>
    <t>تموينات اسد ال الخير</t>
  </si>
  <si>
    <t>26.6382566, 49.9094334</t>
  </si>
  <si>
    <r>
      <rPr>
        <u/>
        <sz val="9"/>
        <color rgb="FF1155CC"/>
        <rFont val="Arial, sans-serif"/>
      </rPr>
      <t>https://maps.google.com/?q=26.6382566,49.9094334</t>
    </r>
  </si>
  <si>
    <t>CUS219</t>
  </si>
  <si>
    <t>تموينات مصدر التسويق</t>
  </si>
  <si>
    <t>26.6375333, 49.9095233</t>
  </si>
  <si>
    <r>
      <rPr>
        <u/>
        <sz val="9"/>
        <color rgb="FF1155CC"/>
        <rFont val="Arial, sans-serif"/>
      </rPr>
      <t>https://maps.google.com/?q=26.6375333,49.9095233</t>
    </r>
  </si>
  <si>
    <t>CUS220</t>
  </si>
  <si>
    <t>26.6392917, 49.908275</t>
  </si>
  <si>
    <r>
      <rPr>
        <u/>
        <sz val="9"/>
        <color rgb="FF1155CC"/>
        <rFont val="Arial, sans-serif"/>
      </rPr>
      <t>https://maps.google.com/?q=26.6392917,49.908275</t>
    </r>
  </si>
  <si>
    <t>CUS221</t>
  </si>
  <si>
    <t>تموينات اشواق</t>
  </si>
  <si>
    <t>26.635425, 49.9167617</t>
  </si>
  <si>
    <r>
      <rPr>
        <u/>
        <sz val="9"/>
        <color rgb="FF1155CC"/>
        <rFont val="Arial, sans-serif"/>
      </rPr>
      <t>https://maps.google.com/?q=26.635425,49.9167617</t>
    </r>
  </si>
  <si>
    <t>CUS222</t>
  </si>
  <si>
    <t>ريد باك</t>
  </si>
  <si>
    <t>26.6374375, 49.9204283</t>
  </si>
  <si>
    <r>
      <rPr>
        <u/>
        <sz val="9"/>
        <color rgb="FF1155CC"/>
        <rFont val="Arial, sans-serif"/>
      </rPr>
      <t>https://maps.google.com/?q=26.6374375,49.9204283</t>
    </r>
  </si>
  <si>
    <t>CUS223</t>
  </si>
  <si>
    <t>تموينات رياح العروبة</t>
  </si>
  <si>
    <t>مشعل</t>
  </si>
  <si>
    <t>26.6360733, 49.9195983</t>
  </si>
  <si>
    <r>
      <rPr>
        <u/>
        <sz val="9"/>
        <color rgb="FF1155CC"/>
        <rFont val="Arial, sans-serif"/>
      </rPr>
      <t>https://maps.google.com/?q=26.6360733,49.9195983</t>
    </r>
  </si>
  <si>
    <t>CUS224</t>
  </si>
  <si>
    <t>اسواق عربة زادي</t>
  </si>
  <si>
    <t>26.637406, 49.9200597</t>
  </si>
  <si>
    <r>
      <rPr>
        <u/>
        <sz val="9"/>
        <color rgb="FF1155CC"/>
        <rFont val="Arial, sans-serif"/>
      </rPr>
      <t>https://maps.google.com/?q=26.637406,49.9200597</t>
    </r>
  </si>
  <si>
    <t>CUS225</t>
  </si>
  <si>
    <t>مؤسسة نجوم الحزم</t>
  </si>
  <si>
    <t>26.639324, 49.9202345</t>
  </si>
  <si>
    <r>
      <rPr>
        <u/>
        <sz val="9"/>
        <color rgb="FF1155CC"/>
        <rFont val="Arial, sans-serif"/>
      </rPr>
      <t>https://maps.google.com/?q=26.639324,49.9202345</t>
    </r>
  </si>
  <si>
    <t>CUS226</t>
  </si>
  <si>
    <t>26.6393767, 49.9610767</t>
  </si>
  <si>
    <r>
      <rPr>
        <u/>
        <sz val="9"/>
        <color rgb="FF1155CC"/>
        <rFont val="Arial, sans-serif"/>
      </rPr>
      <t>https://maps.google.com/?q=26.6393767,49.9610767</t>
    </r>
  </si>
  <si>
    <t>CUS227</t>
  </si>
  <si>
    <t>فرع اسواق 621</t>
  </si>
  <si>
    <t>26.6445753, 49.9586884</t>
  </si>
  <si>
    <r>
      <rPr>
        <u/>
        <sz val="9"/>
        <color rgb="FF1155CC"/>
        <rFont val="Arial, sans-serif"/>
      </rPr>
      <t>https://maps.google.com/?q=26.6445753,49.9586884</t>
    </r>
  </si>
  <si>
    <t>CUS228</t>
  </si>
  <si>
    <t>شركة لنا الدولية</t>
  </si>
  <si>
    <t>26.6477067, 49.9589217</t>
  </si>
  <si>
    <r>
      <rPr>
        <u/>
        <sz val="9"/>
        <color rgb="FF1155CC"/>
        <rFont val="Arial, sans-serif"/>
      </rPr>
      <t>https://maps.google.com/?q=26.6477067,49.9589217</t>
    </r>
  </si>
  <si>
    <t>CUS229</t>
  </si>
  <si>
    <t>تموينات العربة الصغيرة</t>
  </si>
  <si>
    <t>26.6474217, 49.9540083</t>
  </si>
  <si>
    <r>
      <rPr>
        <u/>
        <sz val="9"/>
        <color rgb="FF1155CC"/>
        <rFont val="Arial, sans-serif"/>
      </rPr>
      <t>https://maps.google.com/?q=26.6474217,49.9540083</t>
    </r>
  </si>
  <si>
    <t>CUS230</t>
  </si>
  <si>
    <t>اسواق نهلة</t>
  </si>
  <si>
    <t>26.651945, 49.9440483</t>
  </si>
  <si>
    <r>
      <rPr>
        <u/>
        <sz val="9"/>
        <color rgb="FF1155CC"/>
        <rFont val="Arial, sans-serif"/>
      </rPr>
      <t>https://maps.google.com/?q=26.651945,49.9440483</t>
    </r>
  </si>
  <si>
    <t>CUS231</t>
  </si>
  <si>
    <t>تموينات شروق</t>
  </si>
  <si>
    <t>26.6504267, 49.955585</t>
  </si>
  <si>
    <r>
      <rPr>
        <u/>
        <sz val="9"/>
        <color rgb="FF1155CC"/>
        <rFont val="Arial, sans-serif"/>
      </rPr>
      <t>https://maps.google.com/?q=26.6504267,49.955585</t>
    </r>
  </si>
  <si>
    <t>CUS232</t>
  </si>
  <si>
    <t>وما يقدر يعطي رقمهم</t>
  </si>
  <si>
    <t>26.6461479, 49.9491742</t>
  </si>
  <si>
    <r>
      <rPr>
        <u/>
        <sz val="9"/>
        <color rgb="FF1155CC"/>
        <rFont val="Arial, sans-serif"/>
      </rPr>
      <t>https://maps.google.com/?q=26.6461479,49.9491742</t>
    </r>
  </si>
  <si>
    <t>CUS233</t>
  </si>
  <si>
    <t>مركز محمد الصادق</t>
  </si>
  <si>
    <t>احمد الصادق</t>
  </si>
  <si>
    <t>26.6518753, 49.9483444</t>
  </si>
  <si>
    <r>
      <rPr>
        <u/>
        <sz val="9"/>
        <color rgb="FF1155CC"/>
        <rFont val="Arial, sans-serif"/>
      </rPr>
      <t>https://maps.google.com/?q=26.6518753,49.9483444</t>
    </r>
  </si>
  <si>
    <t>CUS234</t>
  </si>
  <si>
    <t>تموينات عربة البركة</t>
  </si>
  <si>
    <t>26.6571167, 49.9483917</t>
  </si>
  <si>
    <r>
      <rPr>
        <u/>
        <sz val="9"/>
        <color rgb="FF1155CC"/>
        <rFont val="Arial, sans-serif"/>
      </rPr>
      <t>https://maps.google.com/?q=26.6571167,49.9483917</t>
    </r>
  </si>
  <si>
    <t>CUS235</t>
  </si>
  <si>
    <t>تموينات غرب المزارع</t>
  </si>
  <si>
    <t>26.65748, 49.9492917</t>
  </si>
  <si>
    <r>
      <rPr>
        <u/>
        <sz val="9"/>
        <color rgb="FF1155CC"/>
        <rFont val="Arial, sans-serif"/>
      </rPr>
      <t>https://maps.google.com/?q=26.65748,49.9492917</t>
    </r>
  </si>
  <si>
    <t>CUS236</t>
  </si>
  <si>
    <t>اسواق 621</t>
  </si>
  <si>
    <t>انيس</t>
  </si>
  <si>
    <t>26.6575314, 49.9498561</t>
  </si>
  <si>
    <r>
      <rPr>
        <u/>
        <sz val="9"/>
        <color rgb="FF1155CC"/>
        <rFont val="Arial, sans-serif"/>
      </rPr>
      <t>https://maps.google.com/?q=26.6575314,49.9498561</t>
    </r>
  </si>
  <si>
    <t>CUS237</t>
  </si>
  <si>
    <t>الخيرات</t>
  </si>
  <si>
    <t>محمد خالد</t>
  </si>
  <si>
    <t>26.657702, 49.9513276</t>
  </si>
  <si>
    <r>
      <rPr>
        <u/>
        <sz val="9"/>
        <color rgb="FF1155CC"/>
        <rFont val="Arial, sans-serif"/>
      </rPr>
      <t>https://maps.google.com/?q=26.657702,49.9513276</t>
    </r>
  </si>
  <si>
    <t>CUS238</t>
  </si>
  <si>
    <t>تموينات حارة الافراح</t>
  </si>
  <si>
    <t>26.6555117, 49.954795</t>
  </si>
  <si>
    <r>
      <rPr>
        <u/>
        <sz val="9"/>
        <color rgb="FF1155CC"/>
        <rFont val="Arial, sans-serif"/>
      </rPr>
      <t>https://maps.google.com/?q=26.6555117,49.954795</t>
    </r>
  </si>
  <si>
    <t>CUS239</t>
  </si>
  <si>
    <t>تموينات شروق الجبيل</t>
  </si>
  <si>
    <t>26.656295, 49.9587433</t>
  </si>
  <si>
    <r>
      <rPr>
        <u/>
        <sz val="9"/>
        <color rgb="FF1155CC"/>
        <rFont val="Arial, sans-serif"/>
      </rPr>
      <t>https://maps.google.com/?q=26.656295,49.9587433</t>
    </r>
  </si>
  <si>
    <t>CUS240</t>
  </si>
  <si>
    <t>بقالة زينب علي اللباد</t>
  </si>
  <si>
    <t>26.658875, 49.96015</t>
  </si>
  <si>
    <r>
      <rPr>
        <u/>
        <sz val="9"/>
        <color rgb="FF1155CC"/>
        <rFont val="Arial, sans-serif"/>
      </rPr>
      <t>https://maps.google.com/?q=26.658875,49.96015</t>
    </r>
  </si>
  <si>
    <t>CUS241</t>
  </si>
  <si>
    <t>بقالة أسرار التغذية</t>
  </si>
  <si>
    <t>مالك</t>
  </si>
  <si>
    <t>26.653585, 49.9620183</t>
  </si>
  <si>
    <r>
      <rPr>
        <u/>
        <sz val="9"/>
        <color rgb="FF1155CC"/>
        <rFont val="Arial, sans-serif"/>
      </rPr>
      <t>https://maps.google.com/?q=26.653585,49.9620183</t>
    </r>
  </si>
  <si>
    <t>CUS242</t>
  </si>
  <si>
    <t>تموينات الزهراء</t>
  </si>
  <si>
    <t>26.6499733, 49.9611233</t>
  </si>
  <si>
    <r>
      <rPr>
        <u/>
        <sz val="9"/>
        <color rgb="FF1155CC"/>
        <rFont val="Arial, sans-serif"/>
      </rPr>
      <t>https://maps.google.com/?q=26.6499733,49.9611233</t>
    </r>
  </si>
  <si>
    <t>CUS243</t>
  </si>
  <si>
    <t>تموينات الملا</t>
  </si>
  <si>
    <t>26.6482518, 49.9646024</t>
  </si>
  <si>
    <r>
      <rPr>
        <u/>
        <sz val="9"/>
        <color rgb="FF1155CC"/>
        <rFont val="Arial, sans-serif"/>
      </rPr>
      <t>https://maps.google.com/?q=26.6482518,49.9646024</t>
    </r>
  </si>
  <si>
    <t>CUS244</t>
  </si>
  <si>
    <t>بقالة هاشم بن نور بن هاشم ال مهدي</t>
  </si>
  <si>
    <t>هاشم ال مهدي</t>
  </si>
  <si>
    <t>26.6457483, 49.96503</t>
  </si>
  <si>
    <r>
      <rPr>
        <u/>
        <sz val="9"/>
        <color rgb="FF1155CC"/>
        <rFont val="Arial, sans-serif"/>
      </rPr>
      <t>https://maps.google.com/?q=26.6457483,49.96503</t>
    </r>
  </si>
  <si>
    <t>CUS245</t>
  </si>
  <si>
    <t>مؤسسة سدرة النحلة</t>
  </si>
  <si>
    <t>26.6444917, 49.9630583</t>
  </si>
  <si>
    <r>
      <rPr>
        <u/>
        <sz val="9"/>
        <color rgb="FF1155CC"/>
        <rFont val="Arial, sans-serif"/>
      </rPr>
      <t>https://maps.google.com/?q=26.6444917,49.9630583</t>
    </r>
  </si>
  <si>
    <t>CUS246</t>
  </si>
  <si>
    <t>بقالة نادية</t>
  </si>
  <si>
    <t>26.6390833, 49.9702033</t>
  </si>
  <si>
    <r>
      <rPr>
        <u/>
        <sz val="9"/>
        <color rgb="FF1155CC"/>
        <rFont val="Arial, sans-serif"/>
      </rPr>
      <t>https://maps.google.com/?q=26.6390833,49.9702033</t>
    </r>
  </si>
  <si>
    <t>CUS247</t>
  </si>
  <si>
    <t>مؤسسة دكان سندي</t>
  </si>
  <si>
    <t>26.6420017, 49.9627417</t>
  </si>
  <si>
    <r>
      <rPr>
        <u/>
        <sz val="9"/>
        <color rgb="FF1155CC"/>
        <rFont val="Arial, sans-serif"/>
      </rPr>
      <t>https://maps.google.com/?q=26.6420017,49.9627417</t>
    </r>
  </si>
  <si>
    <t>CUS248</t>
  </si>
  <si>
    <t>أسواق صفوة الارض المركزية</t>
  </si>
  <si>
    <t>اكرم</t>
  </si>
  <si>
    <t>26.64072, 49.963575</t>
  </si>
  <si>
    <r>
      <rPr>
        <u/>
        <sz val="9"/>
        <color rgb="FF1155CC"/>
        <rFont val="Arial, sans-serif"/>
      </rPr>
      <t>https://maps.google.com/?q=26.64072,49.963575</t>
    </r>
  </si>
  <si>
    <t>CUS249</t>
  </si>
  <si>
    <t>تموينات الذاهب</t>
  </si>
  <si>
    <t>26.4438033, 50.0810883</t>
  </si>
  <si>
    <r>
      <rPr>
        <u/>
        <sz val="9"/>
        <color rgb="FF1155CC"/>
        <rFont val="Arial, sans-serif"/>
      </rPr>
      <t>https://maps.google.com/?q=26.4438033,50.0810883</t>
    </r>
  </si>
  <si>
    <t>CUS250</t>
  </si>
  <si>
    <t>عمران</t>
  </si>
  <si>
    <t>26.5165099, 49.9959789</t>
  </si>
  <si>
    <r>
      <rPr>
        <u/>
        <sz val="9"/>
        <color rgb="FF1155CC"/>
        <rFont val="Arial, sans-serif"/>
      </rPr>
      <t>https://maps.google.com/?q=26.5165099,49.9959789</t>
    </r>
  </si>
  <si>
    <t>CUS251</t>
  </si>
  <si>
    <t>بقالة حزم القصيم</t>
  </si>
  <si>
    <t>فيصل ابو عمر</t>
  </si>
  <si>
    <t>26.6326803, 49.9114599</t>
  </si>
  <si>
    <r>
      <rPr>
        <u/>
        <sz val="9"/>
        <color rgb="FF1155CC"/>
        <rFont val="Arial, sans-serif"/>
      </rPr>
      <t>https://maps.google.com/?q=26.6326803,49.9114599</t>
    </r>
  </si>
  <si>
    <t>CUS252</t>
  </si>
  <si>
    <t>تموينات قمر الجزيرة</t>
  </si>
  <si>
    <t>26.6432567, 49.9138533</t>
  </si>
  <si>
    <r>
      <rPr>
        <u/>
        <sz val="9"/>
        <color rgb="FF1155CC"/>
        <rFont val="Arial, sans-serif"/>
      </rPr>
      <t>https://maps.google.com/?q=26.6432567,49.9138533</t>
    </r>
  </si>
  <si>
    <t>CUS253</t>
  </si>
  <si>
    <t>26.643815, 49.9132917</t>
  </si>
  <si>
    <r>
      <rPr>
        <u/>
        <sz val="9"/>
        <color rgb="FF1155CC"/>
        <rFont val="Arial, sans-serif"/>
      </rPr>
      <t>https://maps.google.com/?q=26.643815,49.9132917</t>
    </r>
  </si>
  <si>
    <t>CUS254</t>
  </si>
  <si>
    <t>أسواق كوكب المستهلك</t>
  </si>
  <si>
    <t>حسن</t>
  </si>
  <si>
    <t>26.6542747, 49.9229546</t>
  </si>
  <si>
    <r>
      <rPr>
        <u/>
        <sz val="9"/>
        <color rgb="FF1155CC"/>
        <rFont val="Arial, sans-serif"/>
      </rPr>
      <t>https://maps.google.com/?q=26.6542747,49.9229546</t>
    </r>
  </si>
  <si>
    <t>CUS255</t>
  </si>
  <si>
    <t>ركن الشرقية</t>
  </si>
  <si>
    <t>26.6541817, 49.92473</t>
  </si>
  <si>
    <r>
      <rPr>
        <u/>
        <sz val="9"/>
        <color rgb="FF1155CC"/>
        <rFont val="Arial, sans-serif"/>
      </rPr>
      <t>https://maps.google.com/?q=26.6541817,49.92473</t>
    </r>
  </si>
  <si>
    <t>CUS256</t>
  </si>
  <si>
    <t>اسواق سبار سريع</t>
  </si>
  <si>
    <t>26.6486372, 49.9261751</t>
  </si>
  <si>
    <r>
      <rPr>
        <u/>
        <sz val="9"/>
        <color rgb="FF1155CC"/>
        <rFont val="Arial, sans-serif"/>
      </rPr>
      <t>https://maps.google.com/?q=26.6486372,49.9261751</t>
    </r>
  </si>
  <si>
    <t>CUS257</t>
  </si>
  <si>
    <t>شركة رود انكر يزد</t>
  </si>
  <si>
    <t>26.7058556, 50.0671768</t>
  </si>
  <si>
    <r>
      <rPr>
        <u/>
        <sz val="9"/>
        <color rgb="FF1155CC"/>
        <rFont val="Arial, sans-serif"/>
      </rPr>
      <t>https://maps.google.com/?q=26.7058556,50.0671768</t>
    </r>
  </si>
  <si>
    <t>CUS258</t>
  </si>
  <si>
    <t>مؤسسة هندية علي هزازي</t>
  </si>
  <si>
    <t>26.7093692, 50.0633853</t>
  </si>
  <si>
    <r>
      <rPr>
        <u/>
        <sz val="9"/>
        <color rgb="FF1155CC"/>
        <rFont val="Arial, sans-serif"/>
      </rPr>
      <t>https://maps.google.com/?q=26.7093692,50.0633853</t>
    </r>
  </si>
  <si>
    <t>CUS259</t>
  </si>
  <si>
    <t>تموينات فخر النساء</t>
  </si>
  <si>
    <t>26.7090848, 50.0652827</t>
  </si>
  <si>
    <r>
      <rPr>
        <u/>
        <sz val="9"/>
        <color rgb="FF1155CC"/>
        <rFont val="Arial, sans-serif"/>
      </rPr>
      <t>https://maps.google.com/?q=26.7090848,50.0652827</t>
    </r>
  </si>
  <si>
    <t>CUS260</t>
  </si>
  <si>
    <t>تموينات الى الباب الفرع الثاني</t>
  </si>
  <si>
    <t>26.7114267, 50.0473417</t>
  </si>
  <si>
    <r>
      <rPr>
        <u/>
        <sz val="9"/>
        <color rgb="FF1155CC"/>
        <rFont val="Arial, sans-serif"/>
      </rPr>
      <t>https://maps.google.com/?q=26.7114267,50.0473417</t>
    </r>
  </si>
  <si>
    <t>CUS261</t>
  </si>
  <si>
    <t>مؤسسة واحة البروج المميز</t>
  </si>
  <si>
    <t>26.711145, 50.0475517</t>
  </si>
  <si>
    <r>
      <rPr>
        <u/>
        <sz val="9"/>
        <color rgb="FF1155CC"/>
        <rFont val="Arial, sans-serif"/>
      </rPr>
      <t>https://maps.google.com/?q=26.711145,50.0475517</t>
    </r>
  </si>
  <si>
    <t>CUS262</t>
  </si>
  <si>
    <t>مؤسسة مواسم رحيمة</t>
  </si>
  <si>
    <t>26.709532, 50.0515919</t>
  </si>
  <si>
    <r>
      <rPr>
        <u/>
        <sz val="9"/>
        <color rgb="FF1155CC"/>
        <rFont val="Arial, sans-serif"/>
      </rPr>
      <t>https://maps.google.com/?q=26.709532,50.0515919</t>
    </r>
  </si>
  <si>
    <t>CUS263</t>
  </si>
  <si>
    <t>تموينات صدى الركائز</t>
  </si>
  <si>
    <t>يونس</t>
  </si>
  <si>
    <t>26.70758, 50.055195</t>
  </si>
  <si>
    <r>
      <rPr>
        <u/>
        <sz val="9"/>
        <color rgb="FF1155CC"/>
        <rFont val="Arial, sans-serif"/>
      </rPr>
      <t>https://maps.google.com/?q=26.70758,50.055195</t>
    </r>
  </si>
  <si>
    <t>CUS264</t>
  </si>
  <si>
    <t>تموينات كيان رحيمة</t>
  </si>
  <si>
    <t>ابو ريان</t>
  </si>
  <si>
    <t>26.7096458, 50.0606633</t>
  </si>
  <si>
    <r>
      <rPr>
        <u/>
        <sz val="9"/>
        <color rgb="FF1155CC"/>
        <rFont val="Arial, sans-serif"/>
      </rPr>
      <t>https://maps.google.com/?q=26.7096458,50.0606633</t>
    </r>
  </si>
  <si>
    <t>CUS265</t>
  </si>
  <si>
    <t>تموينات دبي رحيمة</t>
  </si>
  <si>
    <t>26.7104354, 50.062381</t>
  </si>
  <si>
    <r>
      <rPr>
        <u/>
        <sz val="9"/>
        <color rgb="FF1155CC"/>
        <rFont val="Arial, sans-serif"/>
      </rPr>
      <t>https://maps.google.com/?q=26.7104354,50.062381</t>
    </r>
  </si>
  <si>
    <t>CUS266</t>
  </si>
  <si>
    <t>بقالة المؤنة الخضراء</t>
  </si>
  <si>
    <t>26.71511, 50.0621933</t>
  </si>
  <si>
    <r>
      <rPr>
        <u/>
        <sz val="9"/>
        <color rgb="FF1155CC"/>
        <rFont val="Arial, sans-serif"/>
      </rPr>
      <t>https://maps.google.com/?q=26.71511,50.0621933</t>
    </r>
  </si>
  <si>
    <t>CUS267</t>
  </si>
  <si>
    <t>تموينات منزل رأس تنورة</t>
  </si>
  <si>
    <t>عادل</t>
  </si>
  <si>
    <t>26.7141683, 50.0546883</t>
  </si>
  <si>
    <r>
      <rPr>
        <u/>
        <sz val="9"/>
        <color rgb="FF1155CC"/>
        <rFont val="Arial, sans-serif"/>
      </rPr>
      <t>https://maps.google.com/?q=26.7141683,50.0546883</t>
    </r>
  </si>
  <si>
    <t>CUS268</t>
  </si>
  <si>
    <t>تموينات خيرات الحبقة</t>
  </si>
  <si>
    <t>26.71086, 50.052705</t>
  </si>
  <si>
    <r>
      <rPr>
        <u/>
        <sz val="9"/>
        <color rgb="FF1155CC"/>
        <rFont val="Arial, sans-serif"/>
      </rPr>
      <t>https://maps.google.com/?q=26.71086,50.052705</t>
    </r>
  </si>
  <si>
    <t>CUS269</t>
  </si>
  <si>
    <t>تموينات الى الباب</t>
  </si>
  <si>
    <t>عبدالفتاح ابو حمد</t>
  </si>
  <si>
    <t>26.7111, 50.05396</t>
  </si>
  <si>
    <r>
      <rPr>
        <u/>
        <sz val="9"/>
        <color rgb="FF1155CC"/>
        <rFont val="Arial, sans-serif"/>
      </rPr>
      <t>https://maps.google.com/?q=26.7111,50.05396</t>
    </r>
  </si>
  <si>
    <t>CUS270</t>
  </si>
  <si>
    <t>تموينات أمجادنا</t>
  </si>
  <si>
    <t>ابو اياد</t>
  </si>
  <si>
    <t>26.713205, 50.0585533</t>
  </si>
  <si>
    <r>
      <rPr>
        <u/>
        <sz val="9"/>
        <color rgb="FF1155CC"/>
        <rFont val="Arial, sans-serif"/>
      </rPr>
      <t>https://maps.google.com/?q=26.713205,50.0585533</t>
    </r>
  </si>
  <si>
    <t>CUS271</t>
  </si>
  <si>
    <t>تموينات موارد رحيمة التجارية</t>
  </si>
  <si>
    <t>ابو بدر</t>
  </si>
  <si>
    <t>26.7117921, 50.0646026</t>
  </si>
  <si>
    <r>
      <rPr>
        <u/>
        <sz val="9"/>
        <color rgb="FF1155CC"/>
        <rFont val="Arial, sans-serif"/>
      </rPr>
      <t>https://maps.google.com/?q=26.7117921,50.0646026</t>
    </r>
  </si>
  <si>
    <t>CUS272</t>
  </si>
  <si>
    <t>تموينات سفينة الامين</t>
  </si>
  <si>
    <t>26.7100133, 50.06755</t>
  </si>
  <si>
    <r>
      <rPr>
        <u/>
        <sz val="9"/>
        <color rgb="FF1155CC"/>
        <rFont val="Arial, sans-serif"/>
      </rPr>
      <t>https://maps.google.com/?q=26.7100133,50.06755</t>
    </r>
  </si>
  <si>
    <t>CUS273</t>
  </si>
  <si>
    <t>تموينات الشاطئ</t>
  </si>
  <si>
    <t>عمر</t>
  </si>
  <si>
    <t>26.705215, 50.0699517</t>
  </si>
  <si>
    <r>
      <rPr>
        <u/>
        <sz val="9"/>
        <color rgb="FF1155CC"/>
        <rFont val="Arial, sans-serif"/>
      </rPr>
      <t>https://maps.google.com/?q=26.705215,50.0699517</t>
    </r>
  </si>
  <si>
    <t>CUS274</t>
  </si>
  <si>
    <t>بقالة زاوية الخيرات</t>
  </si>
  <si>
    <t>26.7072685, 50.0706588</t>
  </si>
  <si>
    <r>
      <rPr>
        <u/>
        <sz val="9"/>
        <color rgb="FF1155CC"/>
        <rFont val="Arial, sans-serif"/>
      </rPr>
      <t>https://maps.google.com/?q=26.7072685,50.0706588</t>
    </r>
  </si>
  <si>
    <t>CUS275</t>
  </si>
  <si>
    <t>مؤسسة زاوية المنتزه</t>
  </si>
  <si>
    <t>ابو انس</t>
  </si>
  <si>
    <t>26.7019467, 50.0548033</t>
  </si>
  <si>
    <r>
      <rPr>
        <u/>
        <sz val="9"/>
        <color rgb="FF1155CC"/>
        <rFont val="Arial, sans-serif"/>
      </rPr>
      <t>https://maps.google.com/?q=26.7019467,50.0548033</t>
    </r>
  </si>
  <si>
    <t>CUS276</t>
  </si>
  <si>
    <t>بقالة تواصل رأس تنورة</t>
  </si>
  <si>
    <t>ابو عبدالعزي</t>
  </si>
  <si>
    <t>CUS277</t>
  </si>
  <si>
    <t>26.69969, 50.044785</t>
  </si>
  <si>
    <r>
      <rPr>
        <u/>
        <sz val="9"/>
        <color rgb="FF1155CC"/>
        <rFont val="Arial, sans-serif"/>
      </rPr>
      <t>https://maps.google.com/?q=26.69969,50.044785</t>
    </r>
  </si>
  <si>
    <t>CUS278</t>
  </si>
  <si>
    <t>مؤسسة موارد السحاب</t>
  </si>
  <si>
    <t>26.702665, 50.0449246</t>
  </si>
  <si>
    <r>
      <rPr>
        <u/>
        <sz val="9"/>
        <color rgb="FF1155CC"/>
        <rFont val="Arial, sans-serif"/>
      </rPr>
      <t>https://maps.google.com/?q=26.702665,50.0449246</t>
    </r>
  </si>
  <si>
    <t>CUS279</t>
  </si>
  <si>
    <t>تموينات السلة الاولى باسكت</t>
  </si>
  <si>
    <t>26.590675, 50.0095633</t>
  </si>
  <si>
    <r>
      <rPr>
        <u/>
        <sz val="9"/>
        <color rgb="FF1155CC"/>
        <rFont val="Arial, sans-serif"/>
      </rPr>
      <t>https://maps.google.com/?q=26.590675,50.0095633</t>
    </r>
  </si>
  <si>
    <t>CUS280</t>
  </si>
  <si>
    <t>اسواق المنتزه</t>
  </si>
  <si>
    <t>26.608485, 50.0077567</t>
  </si>
  <si>
    <r>
      <rPr>
        <u/>
        <sz val="9"/>
        <color rgb="FF1155CC"/>
        <rFont val="Arial, sans-serif"/>
      </rPr>
      <t>https://maps.google.com/?q=26.608485,50.0077567</t>
    </r>
  </si>
  <si>
    <t>CUS281</t>
  </si>
  <si>
    <t>شركة سلسلة ربوة زاراه</t>
  </si>
  <si>
    <t>26.6073267, 50.0081183</t>
  </si>
  <si>
    <r>
      <rPr>
        <u/>
        <sz val="9"/>
        <color rgb="FF1155CC"/>
        <rFont val="Arial, sans-serif"/>
      </rPr>
      <t>https://maps.google.com/?q=26.6073267,50.0081183</t>
    </r>
  </si>
  <si>
    <t>CUS282</t>
  </si>
  <si>
    <t>26.5917917, 50.0098883</t>
  </si>
  <si>
    <r>
      <rPr>
        <u/>
        <sz val="9"/>
        <color rgb="FF1155CC"/>
        <rFont val="Arial, sans-serif"/>
      </rPr>
      <t>https://maps.google.com/?q=26.5917917,50.0098883</t>
    </r>
  </si>
  <si>
    <t>CUS283</t>
  </si>
  <si>
    <t>شركة جميع الايام</t>
  </si>
  <si>
    <t>26.5893323, 50.009957</t>
  </si>
  <si>
    <r>
      <rPr>
        <u/>
        <sz val="9"/>
        <color rgb="FF1155CC"/>
        <rFont val="Arial, sans-serif"/>
      </rPr>
      <t>https://maps.google.com/?q=26.5893323,50.009957</t>
    </r>
  </si>
  <si>
    <t>CUS284</t>
  </si>
  <si>
    <t>اسواق زادار</t>
  </si>
  <si>
    <t>26.5865708, 50.0101255</t>
  </si>
  <si>
    <r>
      <rPr>
        <u/>
        <sz val="9"/>
        <color rgb="FF1155CC"/>
        <rFont val="Arial, sans-serif"/>
      </rPr>
      <t>https://maps.google.com/?q=26.5865708,50.0101255</t>
    </r>
  </si>
  <si>
    <t>CUS285</t>
  </si>
  <si>
    <t>مزايا الغذاء</t>
  </si>
  <si>
    <t>26.583585, 50.0114583</t>
  </si>
  <si>
    <r>
      <rPr>
        <u/>
        <sz val="9"/>
        <color rgb="FF1155CC"/>
        <rFont val="Arial, sans-serif"/>
      </rPr>
      <t>https://maps.google.com/?q=26.583585,50.0114583</t>
    </r>
  </si>
  <si>
    <t>CUS286</t>
  </si>
  <si>
    <t>تموينات ريدف مطر المهري</t>
  </si>
  <si>
    <t>عبيد الجابري</t>
  </si>
  <si>
    <t>26.5149533, 50.0346417</t>
  </si>
  <si>
    <r>
      <rPr>
        <u/>
        <sz val="9"/>
        <color rgb="FF1155CC"/>
        <rFont val="Arial, sans-serif"/>
      </rPr>
      <t>https://maps.google.com/?q=26.5149533,50.0346417</t>
    </r>
  </si>
  <si>
    <t>CUS287</t>
  </si>
  <si>
    <t>تموينات ربوة زاره</t>
  </si>
  <si>
    <t>26.5935867, 49.9824233</t>
  </si>
  <si>
    <r>
      <rPr>
        <u/>
        <sz val="9"/>
        <color rgb="FF1155CC"/>
        <rFont val="Arial, sans-serif"/>
      </rPr>
      <t>https://maps.google.com/?q=26.5935867,49.9824233</t>
    </r>
  </si>
  <si>
    <t>CUS288</t>
  </si>
  <si>
    <t>تموينات الخميس</t>
  </si>
  <si>
    <t>26.5911214, 49.9784423</t>
  </si>
  <si>
    <r>
      <rPr>
        <u/>
        <sz val="9"/>
        <color rgb="FF1155CC"/>
        <rFont val="Arial, sans-serif"/>
      </rPr>
      <t>https://maps.google.com/?q=26.5911214,49.9784423</t>
    </r>
  </si>
  <si>
    <t>CUS289</t>
  </si>
  <si>
    <t>تموينات ولكم</t>
  </si>
  <si>
    <t>انس</t>
  </si>
  <si>
    <t>26.5844313, 49.9735238</t>
  </si>
  <si>
    <r>
      <rPr>
        <u/>
        <sz val="9"/>
        <color rgb="FF1155CC"/>
        <rFont val="Arial, sans-serif"/>
      </rPr>
      <t>https://maps.google.com/?q=26.5844313,49.9735238</t>
    </r>
  </si>
  <si>
    <t>CUS290</t>
  </si>
  <si>
    <t>تموينات سلة الباقر</t>
  </si>
  <si>
    <t>26.5817158, 49.9786993</t>
  </si>
  <si>
    <r>
      <rPr>
        <u/>
        <sz val="9"/>
        <color rgb="FF1155CC"/>
        <rFont val="Arial, sans-serif"/>
      </rPr>
      <t>https://maps.google.com/?q=26.5817158,49.9786993</t>
    </r>
  </si>
  <si>
    <t>CUS291</t>
  </si>
  <si>
    <t>تموينات علي بن عبدالله بن علي الفرج</t>
  </si>
  <si>
    <t>ابو حيدر</t>
  </si>
  <si>
    <t>26.5815433, 49.9778517</t>
  </si>
  <si>
    <r>
      <rPr>
        <u/>
        <sz val="9"/>
        <color rgb="FF1155CC"/>
        <rFont val="Arial, sans-serif"/>
      </rPr>
      <t>https://maps.google.com/?q=26.5815433,49.9778517</t>
    </r>
  </si>
  <si>
    <t>CUS292</t>
  </si>
  <si>
    <t>مركز علي العبد العلي للتسويق</t>
  </si>
  <si>
    <t>26.5666633, 49.9851767</t>
  </si>
  <si>
    <r>
      <rPr>
        <u/>
        <sz val="9"/>
        <color rgb="FF1155CC"/>
        <rFont val="Arial, sans-serif"/>
      </rPr>
      <t>https://maps.google.com/?q=26.5666633,49.9851767</t>
    </r>
  </si>
  <si>
    <t>CUS293</t>
  </si>
  <si>
    <t>26.56371, 49.980955</t>
  </si>
  <si>
    <r>
      <rPr>
        <u/>
        <sz val="9"/>
        <color rgb="FF1155CC"/>
        <rFont val="Arial, sans-serif"/>
      </rPr>
      <t>https://maps.google.com/?q=26.56371,49.980955</t>
    </r>
  </si>
  <si>
    <t>CUS294</t>
  </si>
  <si>
    <t>تموينات زاوية قمة الصدارة</t>
  </si>
  <si>
    <t>ابو سيف</t>
  </si>
  <si>
    <t>26.56422, 49.981235</t>
  </si>
  <si>
    <r>
      <rPr>
        <u/>
        <sz val="9"/>
        <color rgb="FF1155CC"/>
        <rFont val="Arial, sans-serif"/>
      </rPr>
      <t>https://maps.google.com/?q=26.56422,49.981235</t>
    </r>
  </si>
  <si>
    <t>CUS295</t>
  </si>
  <si>
    <t>26.5652633, 49.9935367</t>
  </si>
  <si>
    <r>
      <rPr>
        <u/>
        <sz val="9"/>
        <color rgb="FF1155CC"/>
        <rFont val="Arial, sans-serif"/>
      </rPr>
      <t>https://maps.google.com/?q=26.5652633,49.9935367</t>
    </r>
  </si>
  <si>
    <t>CUS296</t>
  </si>
  <si>
    <t>مؤسسة نور القائم</t>
  </si>
  <si>
    <t>26.562865, 50.000225</t>
  </si>
  <si>
    <r>
      <rPr>
        <u/>
        <sz val="9"/>
        <color rgb="FF1155CC"/>
        <rFont val="Arial, sans-serif"/>
      </rPr>
      <t>https://maps.google.com/?q=26.562865,50.000225</t>
    </r>
  </si>
  <si>
    <t>CUS297</t>
  </si>
  <si>
    <t>المركس الرئىيسي حقهم في المجيدية</t>
  </si>
  <si>
    <t>26.5683122, 50.0051086</t>
  </si>
  <si>
    <r>
      <rPr>
        <u/>
        <sz val="9"/>
        <color rgb="FF1155CC"/>
        <rFont val="Arial, sans-serif"/>
      </rPr>
      <t>https://maps.google.com/?q=26.5683122,50.0051086</t>
    </r>
  </si>
  <si>
    <t>CUS298</t>
  </si>
  <si>
    <t>تموينات دانة الحوراء</t>
  </si>
  <si>
    <t>26.573205, 50.0056883</t>
  </si>
  <si>
    <r>
      <rPr>
        <u/>
        <sz val="9"/>
        <color rgb="FF1155CC"/>
        <rFont val="Arial, sans-serif"/>
      </rPr>
      <t>https://maps.google.com/?q=26.573205,50.0056883</t>
    </r>
  </si>
  <si>
    <t>CUS299</t>
  </si>
  <si>
    <t>بقالة الناصرة</t>
  </si>
  <si>
    <t>ابو حسين الزين</t>
  </si>
  <si>
    <t>26.5766667, 50.0059283</t>
  </si>
  <si>
    <r>
      <rPr>
        <u/>
        <sz val="9"/>
        <color rgb="FF1155CC"/>
        <rFont val="Arial, sans-serif"/>
      </rPr>
      <t>https://maps.google.com/?q=26.5766667,50.0059283</t>
    </r>
  </si>
  <si>
    <t>CUS300</t>
  </si>
  <si>
    <t>تموينات طعام الريان</t>
  </si>
  <si>
    <t>26.5801472, 50.0051877</t>
  </si>
  <si>
    <r>
      <rPr>
        <u/>
        <sz val="9"/>
        <color rgb="FF1155CC"/>
        <rFont val="Arial, sans-serif"/>
      </rPr>
      <t>https://maps.google.com/?q=26.5801472,50.0051877</t>
    </r>
  </si>
  <si>
    <t>CUS301</t>
  </si>
  <si>
    <t>الجواد</t>
  </si>
  <si>
    <t>26.5772536, 50.0087589</t>
  </si>
  <si>
    <r>
      <rPr>
        <u/>
        <sz val="9"/>
        <color rgb="FF1155CC"/>
        <rFont val="Arial, sans-serif"/>
      </rPr>
      <t>https://maps.google.com/?q=26.5772536,50.0087589</t>
    </r>
  </si>
  <si>
    <t>CUS302</t>
  </si>
  <si>
    <t>مؤسسة ثلاثية الابعاد</t>
  </si>
  <si>
    <t>26.5780967, 50.0152917</t>
  </si>
  <si>
    <r>
      <rPr>
        <u/>
        <sz val="9"/>
        <color rgb="FF1155CC"/>
        <rFont val="Arial, sans-serif"/>
      </rPr>
      <t>https://maps.google.com/?q=26.5780967,50.0152917</t>
    </r>
  </si>
  <si>
    <t>CUS303</t>
  </si>
  <si>
    <t>تموينات قمر العشيرة</t>
  </si>
  <si>
    <t>26.5750056, 50.0157919</t>
  </si>
  <si>
    <r>
      <rPr>
        <u/>
        <sz val="9"/>
        <color rgb="FF1155CC"/>
        <rFont val="Arial, sans-serif"/>
      </rPr>
      <t>https://maps.google.com/?q=26.5750056,50.0157919</t>
    </r>
  </si>
  <si>
    <t>CUS304</t>
  </si>
  <si>
    <t>شركة مستقبل السعادة</t>
  </si>
  <si>
    <t>26.5722733, 50.01604</t>
  </si>
  <si>
    <r>
      <rPr>
        <u/>
        <sz val="9"/>
        <color rgb="FF1155CC"/>
        <rFont val="Arial, sans-serif"/>
      </rPr>
      <t>https://maps.google.com/?q=26.5722733,50.01604</t>
    </r>
  </si>
  <si>
    <t>CUS305</t>
  </si>
  <si>
    <t>بقالة مدينة البتول</t>
  </si>
  <si>
    <t>26.574657, 50.0107267</t>
  </si>
  <si>
    <r>
      <rPr>
        <u/>
        <sz val="9"/>
        <color rgb="FF1155CC"/>
        <rFont val="Arial, sans-serif"/>
      </rPr>
      <t>https://maps.google.com/?q=26.574657,50.0107267</t>
    </r>
  </si>
  <si>
    <t>CUS306</t>
  </si>
  <si>
    <t>26.5712761, 50.0260286</t>
  </si>
  <si>
    <r>
      <rPr>
        <u/>
        <sz val="9"/>
        <color rgb="FF1155CC"/>
        <rFont val="Arial, sans-serif"/>
      </rPr>
      <t>https://maps.google.com/?q=26.5712761,50.0260286</t>
    </r>
  </si>
  <si>
    <t>CUS307</t>
  </si>
  <si>
    <t>مريته وهو مغلق</t>
  </si>
  <si>
    <t>النشمي التجارية - الروضة القطيف</t>
  </si>
  <si>
    <t>26.5715133, 50.0299413</t>
  </si>
  <si>
    <r>
      <rPr>
        <u/>
        <sz val="9"/>
        <color rgb="FF1155CC"/>
        <rFont val="Arial, sans-serif"/>
      </rPr>
      <t>https://maps.google.com/?q=26.5715133,50.0299413</t>
    </r>
  </si>
  <si>
    <t>CUS308</t>
  </si>
  <si>
    <t>بقالة السراج المنير</t>
  </si>
  <si>
    <t>26.5753967, 50.03828</t>
  </si>
  <si>
    <r>
      <rPr>
        <u/>
        <sz val="9"/>
        <color rgb="FF1155CC"/>
        <rFont val="Arial, sans-serif"/>
      </rPr>
      <t>https://maps.google.com/?q=26.5753967,50.03828</t>
    </r>
  </si>
  <si>
    <t>CUS309</t>
  </si>
  <si>
    <t>بقالة أهل الزينبية</t>
  </si>
  <si>
    <t>26.5753467, 50.03417</t>
  </si>
  <si>
    <r>
      <rPr>
        <u/>
        <sz val="9"/>
        <color rgb="FF1155CC"/>
        <rFont val="Arial, sans-serif"/>
      </rPr>
      <t>https://maps.google.com/?q=26.5753467,50.03417</t>
    </r>
  </si>
  <si>
    <t>CUS310</t>
  </si>
  <si>
    <t>مؤسسة منير يوسف يعقوب سويف</t>
  </si>
  <si>
    <t>26.576915, 50.0244417</t>
  </si>
  <si>
    <r>
      <rPr>
        <u/>
        <sz val="9"/>
        <color rgb="FF1155CC"/>
        <rFont val="Arial, sans-serif"/>
      </rPr>
      <t>https://maps.google.com/?q=26.576915,50.0244417</t>
    </r>
  </si>
  <si>
    <t>CUS311</t>
  </si>
  <si>
    <t>تموينات ممشى السعادة</t>
  </si>
  <si>
    <t>اشرف البعداني</t>
  </si>
  <si>
    <t>26.5770033, 50.025455</t>
  </si>
  <si>
    <r>
      <rPr>
        <u/>
        <sz val="9"/>
        <color rgb="FF1155CC"/>
        <rFont val="Arial, sans-serif"/>
      </rPr>
      <t>https://maps.google.com/?q=26.5770033,50.025455</t>
    </r>
  </si>
  <si>
    <t>CUS312</t>
  </si>
  <si>
    <t>تموينات شمس</t>
  </si>
  <si>
    <t>ايهاب توفيق</t>
  </si>
  <si>
    <t>26.5753267, 50.0287217</t>
  </si>
  <si>
    <r>
      <rPr>
        <u/>
        <sz val="9"/>
        <color rgb="FF1155CC"/>
        <rFont val="Arial, sans-serif"/>
      </rPr>
      <t>https://maps.google.com/?q=26.5753267,50.0287217</t>
    </r>
  </si>
  <si>
    <t>CUS313</t>
  </si>
  <si>
    <t>بقالة باب العيش</t>
  </si>
  <si>
    <t>26.5770816, 50.0307461</t>
  </si>
  <si>
    <r>
      <rPr>
        <u/>
        <sz val="9"/>
        <color rgb="FF1155CC"/>
        <rFont val="Arial, sans-serif"/>
      </rPr>
      <t>https://maps.google.com/?q=26.5770816,50.0307461</t>
    </r>
  </si>
  <si>
    <t>CUS314</t>
  </si>
  <si>
    <t>مؤسسة كورنر جروسري</t>
  </si>
  <si>
    <t>26.5793567, 50.0306817</t>
  </si>
  <si>
    <r>
      <rPr>
        <u/>
        <sz val="9"/>
        <color rgb="FF1155CC"/>
        <rFont val="Arial, sans-serif"/>
      </rPr>
      <t>https://maps.google.com/?q=26.5793567,50.0306817</t>
    </r>
  </si>
  <si>
    <t>CUS315</t>
  </si>
  <si>
    <t>تموينات فاطمة</t>
  </si>
  <si>
    <t>26.5751567, 50.0314683</t>
  </si>
  <si>
    <r>
      <rPr>
        <u/>
        <sz val="9"/>
        <color rgb="FF1155CC"/>
        <rFont val="Arial, sans-serif"/>
      </rPr>
      <t>https://maps.google.com/?q=26.5751567,50.0314683</t>
    </r>
  </si>
  <si>
    <t>CUS316</t>
  </si>
  <si>
    <t>وفر وعيش</t>
  </si>
  <si>
    <t>26.5726583, 50.03178</t>
  </si>
  <si>
    <r>
      <rPr>
        <u/>
        <sz val="9"/>
        <color rgb="FF1155CC"/>
        <rFont val="Arial, sans-serif"/>
      </rPr>
      <t>https://maps.google.com/?q=26.5726583,50.03178</t>
    </r>
  </si>
  <si>
    <t>CUS317</t>
  </si>
  <si>
    <t>26.5725667, 50.0350617</t>
  </si>
  <si>
    <r>
      <rPr>
        <u/>
        <sz val="9"/>
        <color rgb="FF1155CC"/>
        <rFont val="Arial, sans-serif"/>
      </rPr>
      <t>https://maps.google.com/?q=26.5725667,50.0350617</t>
    </r>
  </si>
  <si>
    <t>CUS318</t>
  </si>
  <si>
    <t>تموينات ساره السكيري</t>
  </si>
  <si>
    <t>26.5725783, 50.0383967</t>
  </si>
  <si>
    <r>
      <rPr>
        <u/>
        <sz val="9"/>
        <color rgb="FF1155CC"/>
        <rFont val="Arial, sans-serif"/>
      </rPr>
      <t>https://maps.google.com/?q=26.5725783,50.0383967</t>
    </r>
  </si>
  <si>
    <t>CUS319</t>
  </si>
  <si>
    <t>أسواق الاعراف 3</t>
  </si>
  <si>
    <t>26.574015, 50.0491967</t>
  </si>
  <si>
    <r>
      <rPr>
        <u/>
        <sz val="9"/>
        <color rgb="FF1155CC"/>
        <rFont val="Arial, sans-serif"/>
      </rPr>
      <t>https://maps.google.com/?q=26.574015,50.0491967</t>
    </r>
  </si>
  <si>
    <t>CUS320</t>
  </si>
  <si>
    <t>مؤسسة زاد منارات الغدير</t>
  </si>
  <si>
    <t>26.5827233, 50.0493783</t>
  </si>
  <si>
    <r>
      <rPr>
        <u/>
        <sz val="9"/>
        <color rgb="FF1155CC"/>
        <rFont val="Arial, sans-serif"/>
      </rPr>
      <t>https://maps.google.com/?q=26.5827233,50.0493783</t>
    </r>
  </si>
  <si>
    <t>CUS321</t>
  </si>
  <si>
    <t>تموينات بروق الخير</t>
  </si>
  <si>
    <t>26.583474, 50.0514966</t>
  </si>
  <si>
    <r>
      <rPr>
        <u/>
        <sz val="9"/>
        <color rgb="FF1155CC"/>
        <rFont val="Arial, sans-serif"/>
      </rPr>
      <t>https://maps.google.com/?q=26.583474,50.0514966</t>
    </r>
  </si>
  <si>
    <t>CUS322</t>
  </si>
  <si>
    <t>أسواق الاعراف</t>
  </si>
  <si>
    <t>26.568125, 50.067095</t>
  </si>
  <si>
    <r>
      <rPr>
        <u/>
        <sz val="9"/>
        <color rgb="FF1155CC"/>
        <rFont val="Arial, sans-serif"/>
      </rPr>
      <t>https://maps.google.com/?q=26.568125,50.067095</t>
    </r>
  </si>
  <si>
    <t>CUS323</t>
  </si>
  <si>
    <t>26.57059, 50.0740867</t>
  </si>
  <si>
    <r>
      <rPr>
        <u/>
        <sz val="9"/>
        <color rgb="FF1155CC"/>
        <rFont val="Arial, sans-serif"/>
      </rPr>
      <t>https://maps.google.com/?q=26.57059,50.0740867</t>
    </r>
  </si>
  <si>
    <t>CUS324</t>
  </si>
  <si>
    <t>اسواق الاعراف</t>
  </si>
  <si>
    <t>26.5734117, 50.0803083</t>
  </si>
  <si>
    <r>
      <rPr>
        <u/>
        <sz val="9"/>
        <color rgb="FF1155CC"/>
        <rFont val="Arial, sans-serif"/>
      </rPr>
      <t>https://maps.google.com/?q=26.5734117,50.0803083</t>
    </r>
  </si>
  <si>
    <t>CUS325</t>
  </si>
  <si>
    <t>تموينات زاوية التاج الذهبي</t>
  </si>
  <si>
    <t>26.583965, 50.0758717</t>
  </si>
  <si>
    <r>
      <rPr>
        <u/>
        <sz val="9"/>
        <color rgb="FF1155CC"/>
        <rFont val="Arial, sans-serif"/>
      </rPr>
      <t>https://maps.google.com/?q=26.583965,50.0758717</t>
    </r>
  </si>
  <si>
    <t>CUS326</t>
  </si>
  <si>
    <t>26.58838, 50.0792833</t>
  </si>
  <si>
    <r>
      <rPr>
        <u/>
        <sz val="9"/>
        <color rgb="FF1155CC"/>
        <rFont val="Arial, sans-serif"/>
      </rPr>
      <t>https://maps.google.com/?q=26.58838,50.0792833</t>
    </r>
  </si>
  <si>
    <t>CUS327</t>
  </si>
  <si>
    <t>تموينات احسن تسوق</t>
  </si>
  <si>
    <t>26.5779881, 50.087227</t>
  </si>
  <si>
    <r>
      <rPr>
        <u/>
        <sz val="9"/>
        <color rgb="FF1155CC"/>
        <rFont val="Arial, sans-serif"/>
      </rPr>
      <t>https://maps.google.com/?q=26.5779881,50.087227</t>
    </r>
  </si>
  <si>
    <t>CUS328</t>
  </si>
  <si>
    <t>تموينات زاد حيدر</t>
  </si>
  <si>
    <t>26.5774867, 50.0841217</t>
  </si>
  <si>
    <r>
      <rPr>
        <u/>
        <sz val="9"/>
        <color rgb="FF1155CC"/>
        <rFont val="Arial, sans-serif"/>
      </rPr>
      <t>https://maps.google.com/?q=26.5774867,50.0841217</t>
    </r>
  </si>
  <si>
    <t>CUS329</t>
  </si>
  <si>
    <t>تموينات خيرات المنتصر</t>
  </si>
  <si>
    <t>جواد</t>
  </si>
  <si>
    <t>26.5758596, 50.0848154</t>
  </si>
  <si>
    <r>
      <rPr>
        <u/>
        <sz val="9"/>
        <color rgb="FF1155CC"/>
        <rFont val="Arial, sans-serif"/>
      </rPr>
      <t>https://maps.google.com/?q=26.5758596,50.0848154</t>
    </r>
  </si>
  <si>
    <t>CUS330</t>
  </si>
  <si>
    <t>تموينات عالم دارين</t>
  </si>
  <si>
    <t>26.5735533, 50.0835767</t>
  </si>
  <si>
    <r>
      <rPr>
        <u/>
        <sz val="9"/>
        <color rgb="FF1155CC"/>
        <rFont val="Arial, sans-serif"/>
      </rPr>
      <t>https://maps.google.com/?q=26.5735533,50.0835767</t>
    </r>
  </si>
  <si>
    <t>CUS331</t>
  </si>
  <si>
    <t>تموينات اطلالة الوادي</t>
  </si>
  <si>
    <t>26.5698015, 50.0840916</t>
  </si>
  <si>
    <r>
      <rPr>
        <u/>
        <sz val="9"/>
        <color rgb="FF1155CC"/>
        <rFont val="Arial, sans-serif"/>
      </rPr>
      <t>https://maps.google.com/?q=26.5698015,50.0840916</t>
    </r>
  </si>
  <si>
    <t>CUS332</t>
  </si>
  <si>
    <t>26.566245, 50.0842067</t>
  </si>
  <si>
    <r>
      <rPr>
        <u/>
        <sz val="9"/>
        <color rgb="FF1155CC"/>
        <rFont val="Arial, sans-serif"/>
      </rPr>
      <t>https://maps.google.com/?q=26.566245,50.0842067</t>
    </r>
  </si>
  <si>
    <t>CUS333</t>
  </si>
  <si>
    <t>بقالة مريم المهري</t>
  </si>
  <si>
    <t>26.54325, 50.0748133</t>
  </si>
  <si>
    <r>
      <rPr>
        <u/>
        <sz val="9"/>
        <color rgb="FF1155CC"/>
        <rFont val="Arial, sans-serif"/>
      </rPr>
      <t>https://maps.google.com/?q=26.54325,50.0748133</t>
    </r>
  </si>
  <si>
    <t>CUS334</t>
  </si>
  <si>
    <t>تموينات لارينا</t>
  </si>
  <si>
    <t>26.5639633, 50.0533583</t>
  </si>
  <si>
    <r>
      <rPr>
        <u/>
        <sz val="9"/>
        <color rgb="FF1155CC"/>
        <rFont val="Arial, sans-serif"/>
      </rPr>
      <t>https://maps.google.com/?q=26.5639633,50.0533583</t>
    </r>
  </si>
  <si>
    <t>CUS335</t>
  </si>
  <si>
    <t>أسواق شذى الليمون</t>
  </si>
  <si>
    <t>ابو فادي</t>
  </si>
  <si>
    <t>26.5602883, 50.0539217</t>
  </si>
  <si>
    <r>
      <rPr>
        <u/>
        <sz val="9"/>
        <color rgb="FF1155CC"/>
        <rFont val="Arial, sans-serif"/>
      </rPr>
      <t>https://maps.google.com/?q=26.5602883,50.0539217</t>
    </r>
  </si>
  <si>
    <t>CUS336</t>
  </si>
  <si>
    <t>مؤسسة الوان الشتوية</t>
  </si>
  <si>
    <t>26.5729105, 50.0529977</t>
  </si>
  <si>
    <r>
      <rPr>
        <u/>
        <sz val="9"/>
        <color rgb="FF1155CC"/>
        <rFont val="Arial, sans-serif"/>
      </rPr>
      <t>https://maps.google.com/?q=26.5729105,50.0529977</t>
    </r>
  </si>
  <si>
    <t>CUS337</t>
  </si>
  <si>
    <t>مؤسسة أسواق نجوم مرحبا</t>
  </si>
  <si>
    <t>26.57409, 50.053655</t>
  </si>
  <si>
    <r>
      <rPr>
        <u/>
        <sz val="9"/>
        <color rgb="FF1155CC"/>
        <rFont val="Arial, sans-serif"/>
      </rPr>
      <t>https://maps.google.com/?q=26.57409,50.053655</t>
    </r>
  </si>
  <si>
    <t>CUS338</t>
  </si>
  <si>
    <t>بقالة الشيخ</t>
  </si>
  <si>
    <t>26.5717883, 50.0460683</t>
  </si>
  <si>
    <r>
      <rPr>
        <u/>
        <sz val="9"/>
        <color rgb="FF1155CC"/>
        <rFont val="Arial, sans-serif"/>
      </rPr>
      <t>https://maps.google.com/?q=26.5717883,50.0460683</t>
    </r>
  </si>
  <si>
    <t>CUS339</t>
  </si>
  <si>
    <t>بقالة عالمك ممتاز</t>
  </si>
  <si>
    <t>26.56945, 50.0457133</t>
  </si>
  <si>
    <r>
      <rPr>
        <u/>
        <sz val="9"/>
        <color rgb="FF1155CC"/>
        <rFont val="Arial, sans-serif"/>
      </rPr>
      <t>https://maps.google.com/?q=26.56945,50.0457133</t>
    </r>
  </si>
  <si>
    <t>CUS340</t>
  </si>
  <si>
    <t>تموينات القرناطة</t>
  </si>
  <si>
    <t>انور</t>
  </si>
  <si>
    <t>26.5726017, 50.0517683</t>
  </si>
  <si>
    <r>
      <rPr>
        <u/>
        <sz val="9"/>
        <color rgb="FF1155CC"/>
        <rFont val="Arial, sans-serif"/>
      </rPr>
      <t>https://maps.google.com/?q=26.5726017,50.0517683</t>
    </r>
  </si>
  <si>
    <t>CUS341</t>
  </si>
  <si>
    <t>مؤسسة علي عبدالباقي</t>
  </si>
  <si>
    <t>26.572768, 50.049506</t>
  </si>
  <si>
    <r>
      <rPr>
        <u/>
        <sz val="9"/>
        <color rgb="FF1155CC"/>
        <rFont val="Arial, sans-serif"/>
      </rPr>
      <t>https://maps.google.com/?q=26.572768,50.049506</t>
    </r>
  </si>
  <si>
    <t>CUS342</t>
  </si>
  <si>
    <t>26.56908, 50.0494283</t>
  </si>
  <si>
    <r>
      <rPr>
        <u/>
        <sz val="9"/>
        <color rgb="FF1155CC"/>
        <rFont val="Arial, sans-serif"/>
      </rPr>
      <t>https://maps.google.com/?q=26.56908,50.0494283</t>
    </r>
  </si>
  <si>
    <t>CUS343</t>
  </si>
  <si>
    <t>تموينات زمان الناصرة</t>
  </si>
  <si>
    <t>26.5686367, 50.0467283</t>
  </si>
  <si>
    <r>
      <rPr>
        <u/>
        <sz val="9"/>
        <color rgb="FF1155CC"/>
        <rFont val="Arial, sans-serif"/>
      </rPr>
      <t>https://maps.google.com/?q=26.5686367,50.0467283</t>
    </r>
  </si>
  <si>
    <t>CUS344</t>
  </si>
  <si>
    <t>تموينات وخضار وفواكة المختار</t>
  </si>
  <si>
    <t>26.56861, 50.0464583</t>
  </si>
  <si>
    <r>
      <rPr>
        <u/>
        <sz val="9"/>
        <color rgb="FF1155CC"/>
        <rFont val="Arial, sans-serif"/>
      </rPr>
      <t>https://maps.google.com/?q=26.56861,50.0464583</t>
    </r>
  </si>
  <si>
    <t>CUS345</t>
  </si>
  <si>
    <t>تموينات كرم اهلنا</t>
  </si>
  <si>
    <t>26.5588617, 50.0458417</t>
  </si>
  <si>
    <r>
      <rPr>
        <u/>
        <sz val="9"/>
        <color rgb="FF1155CC"/>
        <rFont val="Arial, sans-serif"/>
      </rPr>
      <t>https://maps.google.com/?q=26.5588617,50.0458417</t>
    </r>
  </si>
  <si>
    <t>CUS346</t>
  </si>
  <si>
    <t>تموينات الزاد المفضل</t>
  </si>
  <si>
    <t>26.557345, 50.042125</t>
  </si>
  <si>
    <r>
      <rPr>
        <u/>
        <sz val="9"/>
        <color rgb="FF1155CC"/>
        <rFont val="Arial, sans-serif"/>
      </rPr>
      <t>https://maps.google.com/?q=26.557345,50.042125</t>
    </r>
  </si>
  <si>
    <t>CUS347</t>
  </si>
  <si>
    <t>26.5566283, 50.0364217</t>
  </si>
  <si>
    <r>
      <rPr>
        <u/>
        <sz val="9"/>
        <color rgb="FF1155CC"/>
        <rFont val="Arial, sans-serif"/>
      </rPr>
      <t>https://maps.google.com/?q=26.5566283,50.0364217</t>
    </r>
  </si>
  <si>
    <t>CUS348</t>
  </si>
  <si>
    <t>شركة عيون نجران</t>
  </si>
  <si>
    <t>26.5692649, 50.0318625</t>
  </si>
  <si>
    <r>
      <rPr>
        <u/>
        <sz val="9"/>
        <color rgb="FF1155CC"/>
        <rFont val="Arial, sans-serif"/>
      </rPr>
      <t>https://maps.google.com/?q=26.5692649,50.0318625</t>
    </r>
  </si>
  <si>
    <t>CUS349</t>
  </si>
  <si>
    <t>تموينات شركة الخطة المطورة</t>
  </si>
  <si>
    <t>26.5714407, 50.0298889</t>
  </si>
  <si>
    <r>
      <rPr>
        <u/>
        <sz val="9"/>
        <color rgb="FF1155CC"/>
        <rFont val="Arial, sans-serif"/>
      </rPr>
      <t>https://maps.google.com/?q=26.5714407,50.0298889</t>
    </r>
  </si>
  <si>
    <t>CUS350</t>
  </si>
  <si>
    <t>بقالة اليوم السعيد</t>
  </si>
  <si>
    <t>26.5626517, 50.0145417</t>
  </si>
  <si>
    <r>
      <rPr>
        <u/>
        <sz val="9"/>
        <color rgb="FF1155CC"/>
        <rFont val="Arial, sans-serif"/>
      </rPr>
      <t>https://maps.google.com/?q=26.5626517,50.0145417</t>
    </r>
  </si>
  <si>
    <t>CUS351</t>
  </si>
  <si>
    <t>زاد منارات الغدير</t>
  </si>
  <si>
    <t>26.5611417, 50.018615</t>
  </si>
  <si>
    <r>
      <rPr>
        <u/>
        <sz val="9"/>
        <color rgb="FF1155CC"/>
        <rFont val="Arial, sans-serif"/>
      </rPr>
      <t>https://maps.google.com/?q=26.5611417,50.018615</t>
    </r>
  </si>
  <si>
    <t>CUS352</t>
  </si>
  <si>
    <t>وليد</t>
  </si>
  <si>
    <t>26.5606259, 50.01921</t>
  </si>
  <si>
    <r>
      <rPr>
        <u/>
        <sz val="9"/>
        <color rgb="FF1155CC"/>
        <rFont val="Arial, sans-serif"/>
      </rPr>
      <t>https://maps.google.com/?q=26.5606259,50.01921</t>
    </r>
  </si>
  <si>
    <t>CUS353</t>
  </si>
  <si>
    <t>اسواق البصمة الكاملة</t>
  </si>
  <si>
    <t>26.5537377, 50.0147273</t>
  </si>
  <si>
    <r>
      <rPr>
        <u/>
        <sz val="9"/>
        <color rgb="FF1155CC"/>
        <rFont val="Arial, sans-serif"/>
      </rPr>
      <t>https://maps.google.com/?q=26.5537377,50.0147273</t>
    </r>
  </si>
  <si>
    <t>CUS354</t>
  </si>
  <si>
    <t>بقالة زينب ال محسن</t>
  </si>
  <si>
    <t>علم</t>
  </si>
  <si>
    <t>26.55483, 50.018465</t>
  </si>
  <si>
    <r>
      <rPr>
        <u/>
        <sz val="9"/>
        <color rgb="FF1155CC"/>
        <rFont val="Arial, sans-serif"/>
      </rPr>
      <t>https://maps.google.com/?q=26.55483,50.018465</t>
    </r>
  </si>
  <si>
    <t>CUS355</t>
  </si>
  <si>
    <t>تموينات بوابة الشاطئ</t>
  </si>
  <si>
    <t>عبدالملك</t>
  </si>
  <si>
    <t>26.5515717, 50.01876</t>
  </si>
  <si>
    <r>
      <rPr>
        <u/>
        <sz val="9"/>
        <color rgb="FF1155CC"/>
        <rFont val="Arial, sans-serif"/>
      </rPr>
      <t>https://maps.google.com/?q=26.5515717,50.01876</t>
    </r>
  </si>
  <si>
    <t>CUS356</t>
  </si>
  <si>
    <t>اسواق نجمة الغدير</t>
  </si>
  <si>
    <t>ابو عيسى</t>
  </si>
  <si>
    <t>26.4921341, 50.0470026</t>
  </si>
  <si>
    <r>
      <rPr>
        <u/>
        <sz val="9"/>
        <color rgb="FF1155CC"/>
        <rFont val="Arial, sans-serif"/>
      </rPr>
      <t>https://maps.google.com/?q=26.4921341,50.0470026</t>
    </r>
  </si>
  <si>
    <t>CUS357</t>
  </si>
  <si>
    <t>شركة نحوم الخيرات</t>
  </si>
  <si>
    <t>26.4882167, 50.0599983</t>
  </si>
  <si>
    <r>
      <rPr>
        <u/>
        <sz val="9"/>
        <color rgb="FF1155CC"/>
        <rFont val="Arial, sans-serif"/>
      </rPr>
      <t>https://maps.google.com/?q=26.4882167,50.0599983</t>
    </r>
  </si>
  <si>
    <t>CUS358</t>
  </si>
  <si>
    <t>تموينات الباب الغربي</t>
  </si>
  <si>
    <t>26.48835, 50.0557283</t>
  </si>
  <si>
    <r>
      <rPr>
        <u/>
        <sz val="9"/>
        <color rgb="FF1155CC"/>
        <rFont val="Arial, sans-serif"/>
      </rPr>
      <t>https://maps.google.com/?q=26.48835,50.0557283</t>
    </r>
  </si>
  <si>
    <t>CUS359</t>
  </si>
  <si>
    <t>مركز جوان الغذاء</t>
  </si>
  <si>
    <t>26.4809138, 50.05491</t>
  </si>
  <si>
    <r>
      <rPr>
        <u/>
        <sz val="9"/>
        <color rgb="FF1155CC"/>
        <rFont val="Arial, sans-serif"/>
      </rPr>
      <t>https://maps.google.com/?q=26.4809138,50.05491</t>
    </r>
  </si>
  <si>
    <t>CUS360</t>
  </si>
  <si>
    <t>مؤسسة اركان النعمة</t>
  </si>
  <si>
    <t>26.477343, 50.0618946</t>
  </si>
  <si>
    <r>
      <rPr>
        <u/>
        <sz val="9"/>
        <color rgb="FF1155CC"/>
        <rFont val="Arial, sans-serif"/>
      </rPr>
      <t>https://maps.google.com/?q=26.477343,50.0618946</t>
    </r>
  </si>
  <si>
    <t>CUS361</t>
  </si>
  <si>
    <t>26.4633717, 50.0669333</t>
  </si>
  <si>
    <r>
      <rPr>
        <u/>
        <sz val="9"/>
        <color rgb="FF1155CC"/>
        <rFont val="Arial, sans-serif"/>
      </rPr>
      <t>https://maps.google.com/?q=26.4633717,50.0669333</t>
    </r>
  </si>
  <si>
    <t>CUS362</t>
  </si>
  <si>
    <t>اسواق الچبرة</t>
  </si>
  <si>
    <t>رقية</t>
  </si>
  <si>
    <t>26.536885, 50.0254317</t>
  </si>
  <si>
    <r>
      <rPr>
        <u/>
        <sz val="9"/>
        <color rgb="FF1155CC"/>
        <rFont val="Arial, sans-serif"/>
      </rPr>
      <t>https://maps.google.com/?q=26.536885,50.0254317</t>
    </r>
  </si>
  <si>
    <t>CUS363</t>
  </si>
  <si>
    <t>شركة نهلة الوادي</t>
  </si>
  <si>
    <t>26.5329267, 50.0283192</t>
  </si>
  <si>
    <r>
      <rPr>
        <u/>
        <sz val="9"/>
        <color rgb="FF1155CC"/>
        <rFont val="Arial, sans-serif"/>
      </rPr>
      <t>https://maps.google.com/?q=26.5329267,50.0283192</t>
    </r>
  </si>
  <si>
    <t>CUS364</t>
  </si>
  <si>
    <t>تموينات الدكان الاوحد</t>
  </si>
  <si>
    <t>26.5186217, 50.0273133</t>
  </si>
  <si>
    <r>
      <rPr>
        <u/>
        <sz val="9"/>
        <color rgb="FF1155CC"/>
        <rFont val="Arial, sans-serif"/>
      </rPr>
      <t>https://maps.google.com/?q=26.5186217,50.0273133</t>
    </r>
  </si>
  <si>
    <t>CUS365</t>
  </si>
  <si>
    <t>تموينات دكان عنك</t>
  </si>
  <si>
    <t>26.5156417, 50.0265083</t>
  </si>
  <si>
    <r>
      <rPr>
        <u/>
        <sz val="9"/>
        <color rgb="FF1155CC"/>
        <rFont val="Arial, sans-serif"/>
      </rPr>
      <t>https://maps.google.com/?q=26.5156417,50.0265083</t>
    </r>
  </si>
  <si>
    <t>CUS366</t>
  </si>
  <si>
    <t>مؤسسة ربوع الجازي</t>
  </si>
  <si>
    <t>26.5112014, 50.0284803</t>
  </si>
  <si>
    <r>
      <rPr>
        <u/>
        <sz val="9"/>
        <color rgb="FF1155CC"/>
        <rFont val="Arial, sans-serif"/>
      </rPr>
      <t>https://maps.google.com/?q=26.5112014,50.0284803</t>
    </r>
  </si>
  <si>
    <t>CUS367</t>
  </si>
  <si>
    <t>تموينات البستان الساطع</t>
  </si>
  <si>
    <t>26.5073267, 50.0349567</t>
  </si>
  <si>
    <r>
      <rPr>
        <u/>
        <sz val="9"/>
        <color rgb="FF1155CC"/>
        <rFont val="Arial, sans-serif"/>
      </rPr>
      <t>https://maps.google.com/?q=26.5073267,50.0349567</t>
    </r>
  </si>
  <si>
    <t>CUS368</t>
  </si>
  <si>
    <t>تموينات جنة رضي بن ال خليف</t>
  </si>
  <si>
    <t>26.508375, 50.0296067</t>
  </si>
  <si>
    <r>
      <rPr>
        <u/>
        <sz val="9"/>
        <color rgb="FF1155CC"/>
        <rFont val="Arial, sans-serif"/>
      </rPr>
      <t>https://maps.google.com/?q=26.508375,50.0296067</t>
    </r>
  </si>
  <si>
    <t>CUS369</t>
  </si>
  <si>
    <t>تموينات زينب علي المرهون</t>
  </si>
  <si>
    <t>26.5013567, 50.030933</t>
  </si>
  <si>
    <r>
      <rPr>
        <u/>
        <sz val="9"/>
        <color rgb="FF1155CC"/>
        <rFont val="Arial, sans-serif"/>
      </rPr>
      <t>https://maps.google.com/?q=26.5013567,50.030933</t>
    </r>
  </si>
  <si>
    <t>CUS370</t>
  </si>
  <si>
    <t>بقالة العقيلة</t>
  </si>
  <si>
    <t>26.50121, 50.0342467</t>
  </si>
  <si>
    <r>
      <rPr>
        <u/>
        <sz val="9"/>
        <color rgb="FF1155CC"/>
        <rFont val="Arial, sans-serif"/>
      </rPr>
      <t>https://maps.google.com/?q=26.50121,50.0342467</t>
    </r>
  </si>
  <si>
    <t>CUS371</t>
  </si>
  <si>
    <t>بقالة نور بشائر الخير</t>
  </si>
  <si>
    <t>26.500075, 50.0396033</t>
  </si>
  <si>
    <r>
      <rPr>
        <u/>
        <sz val="9"/>
        <color rgb="FF1155CC"/>
        <rFont val="Arial, sans-serif"/>
      </rPr>
      <t>https://maps.google.com/?q=26.500075,50.0396033</t>
    </r>
  </si>
  <si>
    <t>CUS372</t>
  </si>
  <si>
    <t>تموينات نجمة المحدود</t>
  </si>
  <si>
    <t>26.4967389, 50.0357291</t>
  </si>
  <si>
    <r>
      <rPr>
        <u/>
        <sz val="9"/>
        <color rgb="FF1155CC"/>
        <rFont val="Arial, sans-serif"/>
      </rPr>
      <t>https://maps.google.com/?q=26.4967389,50.0357291</t>
    </r>
  </si>
  <si>
    <t>CUS373</t>
  </si>
  <si>
    <t>مركز الحسن للتسويق</t>
  </si>
  <si>
    <t>26.494245, 50.035365</t>
  </si>
  <si>
    <r>
      <rPr>
        <u/>
        <sz val="9"/>
        <color rgb="FF1155CC"/>
        <rFont val="Arial, sans-serif"/>
      </rPr>
      <t>https://maps.google.com/?q=26.494245,50.035365</t>
    </r>
  </si>
  <si>
    <t>CUS374</t>
  </si>
  <si>
    <t>26.4934083, 50.0361183</t>
  </si>
  <si>
    <r>
      <rPr>
        <u/>
        <sz val="9"/>
        <color rgb="FF1155CC"/>
        <rFont val="Arial, sans-serif"/>
      </rPr>
      <t>https://maps.google.com/?q=26.4934083,50.0361183</t>
    </r>
  </si>
  <si>
    <t>CUS375</t>
  </si>
  <si>
    <t>تموينات وصل الوفاء</t>
  </si>
  <si>
    <t>26.4833342, 50.0461884</t>
  </si>
  <si>
    <r>
      <rPr>
        <u/>
        <sz val="9"/>
        <color rgb="FF1155CC"/>
        <rFont val="Arial, sans-serif"/>
      </rPr>
      <t>https://maps.google.com/?q=26.4833342,50.0461884</t>
    </r>
  </si>
  <si>
    <t>CUS376</t>
  </si>
  <si>
    <t>26.4887383, 50.0406833</t>
  </si>
  <si>
    <r>
      <rPr>
        <u/>
        <sz val="9"/>
        <color rgb="FF1155CC"/>
        <rFont val="Arial, sans-serif"/>
      </rPr>
      <t>https://maps.google.com/?q=26.4887383,50.0406833</t>
    </r>
  </si>
  <si>
    <t>CUS377</t>
  </si>
  <si>
    <t>التمونات الذكية</t>
  </si>
  <si>
    <t>26.4840867, 50.0370683</t>
  </si>
  <si>
    <r>
      <rPr>
        <u/>
        <sz val="9"/>
        <color rgb="FF1155CC"/>
        <rFont val="Arial, sans-serif"/>
      </rPr>
      <t>https://maps.google.com/?q=26.4840867,50.0370683</t>
    </r>
  </si>
  <si>
    <t>CUS378</t>
  </si>
  <si>
    <t>المنتزه اكسبرس</t>
  </si>
  <si>
    <t>26.471815, 50.026825</t>
  </si>
  <si>
    <r>
      <rPr>
        <u/>
        <sz val="9"/>
        <color rgb="FF1155CC"/>
        <rFont val="Arial, sans-serif"/>
      </rPr>
      <t>https://maps.google.com/?q=26.471815,50.026825</t>
    </r>
  </si>
  <si>
    <t>CUS379</t>
  </si>
  <si>
    <t>مؤسسة واحد مليون</t>
  </si>
  <si>
    <t>26.46527, 50.0252333</t>
  </si>
  <si>
    <r>
      <rPr>
        <u/>
        <sz val="9"/>
        <color rgb="FF1155CC"/>
        <rFont val="Arial, sans-serif"/>
      </rPr>
      <t>https://maps.google.com/?q=26.46527,50.0252333</t>
    </r>
  </si>
  <si>
    <t>CUS380</t>
  </si>
  <si>
    <t>مؤسسة بنت النور</t>
  </si>
  <si>
    <t>ابو محمد</t>
  </si>
  <si>
    <t>26.46735, 50.0412938</t>
  </si>
  <si>
    <r>
      <rPr>
        <u/>
        <sz val="9"/>
        <color rgb="FF1155CC"/>
        <rFont val="Arial, sans-serif"/>
      </rPr>
      <t>https://maps.google.com/?q=26.46735,50.0412938</t>
    </r>
  </si>
  <si>
    <t>CUS381</t>
  </si>
  <si>
    <t>بقالة جاسم علي الشايب</t>
  </si>
  <si>
    <t>26.4684091, 50.0440391</t>
  </si>
  <si>
    <r>
      <rPr>
        <u/>
        <sz val="9"/>
        <color rgb="FF1155CC"/>
        <rFont val="Arial, sans-serif"/>
      </rPr>
      <t>https://maps.google.com/?q=26.4684091,50.0440391</t>
    </r>
  </si>
  <si>
    <t>CUS382</t>
  </si>
  <si>
    <t>بقالة سلوى شوعي غاوي</t>
  </si>
  <si>
    <t>داوود</t>
  </si>
  <si>
    <t>26.4686133, 50.0442617</t>
  </si>
  <si>
    <r>
      <rPr>
        <u/>
        <sz val="9"/>
        <color rgb="FF1155CC"/>
        <rFont val="Arial, sans-serif"/>
      </rPr>
      <t>https://maps.google.com/?q=26.4686133,50.0442617</t>
    </r>
  </si>
  <si>
    <t>CUS383</t>
  </si>
  <si>
    <t>26.4766033, 50.0404167</t>
  </si>
  <si>
    <r>
      <rPr>
        <u/>
        <sz val="9"/>
        <color rgb="FF1155CC"/>
        <rFont val="Arial, sans-serif"/>
      </rPr>
      <t>https://maps.google.com/?q=26.4766033,50.0404167</t>
    </r>
  </si>
  <si>
    <t>CUS384</t>
  </si>
  <si>
    <t>تموينات خيرات غرناطة</t>
  </si>
  <si>
    <t>26.474205, 50.0399117</t>
  </si>
  <si>
    <r>
      <rPr>
        <u/>
        <sz val="9"/>
        <color rgb="FF1155CC"/>
        <rFont val="Arial, sans-serif"/>
      </rPr>
      <t>https://maps.google.com/?q=26.474205,50.0399117</t>
    </r>
  </si>
  <si>
    <t>CUS385</t>
  </si>
  <si>
    <t>مؤسسة جسور الخليج</t>
  </si>
  <si>
    <t>26.4741783, 50.0432567</t>
  </si>
  <si>
    <r>
      <rPr>
        <u/>
        <sz val="9"/>
        <color rgb="FF1155CC"/>
        <rFont val="Arial, sans-serif"/>
      </rPr>
      <t>https://maps.google.com/?q=26.4741783,50.0432567</t>
    </r>
  </si>
  <si>
    <t>CUS386</t>
  </si>
  <si>
    <t>تموينات عربة الدانة</t>
  </si>
  <si>
    <t>26.4775817, 50.046105</t>
  </si>
  <si>
    <r>
      <rPr>
        <u/>
        <sz val="9"/>
        <color rgb="FF1155CC"/>
        <rFont val="Arial, sans-serif"/>
      </rPr>
      <t>https://maps.google.com/?q=26.4775817,50.046105</t>
    </r>
  </si>
  <si>
    <t>CUS387</t>
  </si>
  <si>
    <t>تموينات المروج الخضراء</t>
  </si>
  <si>
    <t>26.4801283, 50.04461</t>
  </si>
  <si>
    <r>
      <rPr>
        <u/>
        <sz val="9"/>
        <color rgb="FF1155CC"/>
        <rFont val="Arial, sans-serif"/>
      </rPr>
      <t>https://maps.google.com/?q=26.4801283,50.04461</t>
    </r>
  </si>
  <si>
    <t>CUS388</t>
  </si>
  <si>
    <t>تموينات اليومي</t>
  </si>
  <si>
    <t>26.4732133, 50.0446417</t>
  </si>
  <si>
    <r>
      <rPr>
        <u/>
        <sz val="9"/>
        <color rgb="FF1155CC"/>
        <rFont val="Arial, sans-serif"/>
      </rPr>
      <t>https://maps.google.com/?q=26.4732133,50.0446417</t>
    </r>
  </si>
  <si>
    <t>CUS389</t>
  </si>
  <si>
    <t>26.4811217, 50.05083</t>
  </si>
  <si>
    <r>
      <rPr>
        <u/>
        <sz val="9"/>
        <color rgb="FF1155CC"/>
        <rFont val="Arial, sans-serif"/>
      </rPr>
      <t>https://maps.google.com/?q=26.4811217,50.05083</t>
    </r>
  </si>
  <si>
    <t>CUS390</t>
  </si>
  <si>
    <t>26.4777383, 50.0496883</t>
  </si>
  <si>
    <r>
      <rPr>
        <u/>
        <sz val="9"/>
        <color rgb="FF1155CC"/>
        <rFont val="Arial, sans-serif"/>
      </rPr>
      <t>https://maps.google.com/?q=26.4777383,50.0496883</t>
    </r>
  </si>
  <si>
    <t>CUS391</t>
  </si>
  <si>
    <t>26.4758783, 50.0564</t>
  </si>
  <si>
    <r>
      <rPr>
        <u/>
        <sz val="9"/>
        <color rgb="FF1155CC"/>
        <rFont val="Arial, sans-serif"/>
      </rPr>
      <t>https://maps.google.com/?q=26.4758783,50.0564</t>
    </r>
  </si>
  <si>
    <t>CUS392</t>
  </si>
  <si>
    <t>سوبر ماركت عربة رهف</t>
  </si>
  <si>
    <t>يحي</t>
  </si>
  <si>
    <t>26.4826043, 50.0517571</t>
  </si>
  <si>
    <r>
      <rPr>
        <u/>
        <sz val="9"/>
        <color rgb="FF1155CC"/>
        <rFont val="Arial, sans-serif"/>
      </rPr>
      <t>https://maps.google.com/?q=26.4826043,50.0517571</t>
    </r>
  </si>
  <si>
    <t>CUS393</t>
  </si>
  <si>
    <t>26.478704, 50.0462174</t>
  </si>
  <si>
    <r>
      <rPr>
        <u/>
        <sz val="9"/>
        <color rgb="FF1155CC"/>
        <rFont val="Arial, sans-serif"/>
      </rPr>
      <t>https://maps.google.com/?q=26.478704,50.0462174</t>
    </r>
  </si>
  <si>
    <t>CUS394</t>
  </si>
  <si>
    <t>عاصف</t>
  </si>
  <si>
    <t>26.4759567, 50.051325</t>
  </si>
  <si>
    <r>
      <rPr>
        <u/>
        <sz val="9"/>
        <color rgb="FF1155CC"/>
        <rFont val="Arial, sans-serif"/>
      </rPr>
      <t>https://maps.google.com/?q=26.4759567,50.051325</t>
    </r>
  </si>
  <si>
    <t>CUS395</t>
  </si>
  <si>
    <t>26.4697145, 50.0530834</t>
  </si>
  <si>
    <r>
      <rPr>
        <u/>
        <sz val="9"/>
        <color rgb="FF1155CC"/>
        <rFont val="Arial, sans-serif"/>
      </rPr>
      <t>https://maps.google.com/?q=26.4697145,50.0530834</t>
    </r>
  </si>
  <si>
    <t>CUS396</t>
  </si>
  <si>
    <t>بقالة درة المحمدية</t>
  </si>
  <si>
    <t>26.45786, 50.0581133</t>
  </si>
  <si>
    <r>
      <rPr>
        <u/>
        <sz val="9"/>
        <color rgb="FF1155CC"/>
        <rFont val="Arial, sans-serif"/>
      </rPr>
      <t>https://maps.google.com/?q=26.45786,50.0581133</t>
    </r>
  </si>
  <si>
    <t>CUS397</t>
  </si>
  <si>
    <t>مركز اغذية الاحساء</t>
  </si>
  <si>
    <t>26.4607979, 50.0611374</t>
  </si>
  <si>
    <r>
      <rPr>
        <u/>
        <sz val="9"/>
        <color rgb="FF1155CC"/>
        <rFont val="Arial, sans-serif"/>
      </rPr>
      <t>https://maps.google.com/?q=26.4607979,50.0611374</t>
    </r>
  </si>
  <si>
    <t>CUS398</t>
  </si>
  <si>
    <t>اسواق إطلالة الوادي</t>
  </si>
  <si>
    <t>26.462585, 50.056665</t>
  </si>
  <si>
    <r>
      <rPr>
        <u/>
        <sz val="9"/>
        <color rgb="FF1155CC"/>
        <rFont val="Arial, sans-serif"/>
      </rPr>
      <t>https://maps.google.com/?q=26.462585,50.056665</t>
    </r>
  </si>
  <si>
    <t>CUS399</t>
  </si>
  <si>
    <t>26.4651751, 50.0485662</t>
  </si>
  <si>
    <r>
      <rPr>
        <u/>
        <sz val="9"/>
        <color rgb="FF1155CC"/>
        <rFont val="Arial, sans-serif"/>
      </rPr>
      <t>https://maps.google.com/?q=26.4651751,50.0485662</t>
    </r>
  </si>
  <si>
    <t>CUS400</t>
  </si>
  <si>
    <t>تموينات حزام الخير</t>
  </si>
  <si>
    <t>حاتم ابو امجد</t>
  </si>
  <si>
    <t>26.4576733, 50.0514133</t>
  </si>
  <si>
    <r>
      <rPr>
        <u/>
        <sz val="9"/>
        <color rgb="FF1155CC"/>
        <rFont val="Arial, sans-serif"/>
      </rPr>
      <t>https://maps.google.com/?q=26.4576733,50.0514133</t>
    </r>
  </si>
  <si>
    <t>CUS401</t>
  </si>
  <si>
    <t>أسواق سلة الزهراء</t>
  </si>
  <si>
    <t>ابو عزام</t>
  </si>
  <si>
    <t>26.4552783, 50.0539433</t>
  </si>
  <si>
    <r>
      <rPr>
        <u/>
        <sz val="9"/>
        <color rgb="FF1155CC"/>
        <rFont val="Arial, sans-serif"/>
      </rPr>
      <t>https://maps.google.com/?q=26.4552783,50.0539433</t>
    </r>
  </si>
  <si>
    <t>CUS402</t>
  </si>
  <si>
    <t>تموينات تيسير العائله</t>
  </si>
  <si>
    <t>26.4227217, 50.0725467</t>
  </si>
  <si>
    <r>
      <rPr>
        <u/>
        <sz val="9"/>
        <color rgb="FF1155CC"/>
        <rFont val="Arial, sans-serif"/>
      </rPr>
      <t>https://maps.google.com/?q=26.4227217,50.0725467</t>
    </r>
  </si>
  <si>
    <t>CUS403</t>
  </si>
  <si>
    <t>تموينات زينب سعود بن حسين تحيفة</t>
  </si>
  <si>
    <t>26.4259367, 50.0699083</t>
  </si>
  <si>
    <r>
      <rPr>
        <u/>
        <sz val="9"/>
        <color rgb="FF1155CC"/>
        <rFont val="Arial, sans-serif"/>
      </rPr>
      <t>https://maps.google.com/?q=26.4259367,50.0699083</t>
    </r>
  </si>
  <si>
    <t>CUS404</t>
  </si>
  <si>
    <t>بقالة سقيفة غرناطة</t>
  </si>
  <si>
    <t>26.41717, 50.0787567</t>
  </si>
  <si>
    <r>
      <rPr>
        <u/>
        <sz val="9"/>
        <color rgb="FF1155CC"/>
        <rFont val="Arial, sans-serif"/>
      </rPr>
      <t>https://maps.google.com/?q=26.41717,50.0787567</t>
    </r>
  </si>
  <si>
    <t>CUS405</t>
  </si>
  <si>
    <t>مؤسسة باب طيبة</t>
  </si>
  <si>
    <t>26.4166758, 50.0799919</t>
  </si>
  <si>
    <r>
      <rPr>
        <u/>
        <sz val="9"/>
        <color rgb="FF1155CC"/>
        <rFont val="Arial, sans-serif"/>
      </rPr>
      <t>https://maps.google.com/?q=26.4166758,50.0799919</t>
    </r>
  </si>
  <si>
    <t>CUS406</t>
  </si>
  <si>
    <t>تموينات سلوى شوعي غاوي</t>
  </si>
  <si>
    <t>26.4186887, 50.0841571</t>
  </si>
  <si>
    <r>
      <rPr>
        <u/>
        <sz val="9"/>
        <color rgb="FF1155CC"/>
        <rFont val="Arial, sans-serif"/>
      </rPr>
      <t>https://maps.google.com/?q=26.4186887,50.0841571</t>
    </r>
  </si>
  <si>
    <t>CUS407</t>
  </si>
  <si>
    <t>مؤسسة ميدان الخيل</t>
  </si>
  <si>
    <t>26.4232667, 50.0797117</t>
  </si>
  <si>
    <r>
      <rPr>
        <u/>
        <sz val="9"/>
        <color rgb="FF1155CC"/>
        <rFont val="Arial, sans-serif"/>
      </rPr>
      <t>https://maps.google.com/?q=26.4232667,50.0797117</t>
    </r>
  </si>
  <si>
    <t>CUS408</t>
  </si>
  <si>
    <t>بقالة سكون الشرقية</t>
  </si>
  <si>
    <t>26.4230449, 50.0787823</t>
  </si>
  <si>
    <r>
      <rPr>
        <u/>
        <sz val="9"/>
        <color rgb="FF1155CC"/>
        <rFont val="Arial, sans-serif"/>
      </rPr>
      <t>https://maps.google.com/?q=26.4230449,50.0787823</t>
    </r>
  </si>
  <si>
    <t>CUS409</t>
  </si>
  <si>
    <t>اسواق لقطة حلا</t>
  </si>
  <si>
    <t>محمد عبده</t>
  </si>
  <si>
    <t>26.424645, 50.0841983</t>
  </si>
  <si>
    <r>
      <rPr>
        <u/>
        <sz val="9"/>
        <color rgb="FF1155CC"/>
        <rFont val="Arial, sans-serif"/>
      </rPr>
      <t>https://maps.google.com/?q=26.424645,50.0841983</t>
    </r>
  </si>
  <si>
    <t>CUS410</t>
  </si>
  <si>
    <t>مركز كائن للتسويق</t>
  </si>
  <si>
    <t>26.4247817, 50.08522</t>
  </si>
  <si>
    <r>
      <rPr>
        <u/>
        <sz val="9"/>
        <color rgb="FF1155CC"/>
        <rFont val="Arial, sans-serif"/>
      </rPr>
      <t>https://maps.google.com/?q=26.4247817,50.08522</t>
    </r>
  </si>
  <si>
    <t>CUS411</t>
  </si>
  <si>
    <t>تموينات زاد وكرم الخير</t>
  </si>
  <si>
    <t>كمال</t>
  </si>
  <si>
    <t>26.426465, 50.08514</t>
  </si>
  <si>
    <r>
      <rPr>
        <u/>
        <sz val="9"/>
        <color rgb="FF1155CC"/>
        <rFont val="Arial, sans-serif"/>
      </rPr>
      <t>https://maps.google.com/?q=26.426465,50.08514</t>
    </r>
  </si>
  <si>
    <t>CUS412</t>
  </si>
  <si>
    <t>أسواق العييري</t>
  </si>
  <si>
    <t>رشيد</t>
  </si>
  <si>
    <t>26.4273917, 50.0723212</t>
  </si>
  <si>
    <r>
      <rPr>
        <u/>
        <sz val="9"/>
        <color rgb="FF1155CC"/>
        <rFont val="Arial, sans-serif"/>
      </rPr>
      <t>https://maps.google.com/?q=26.4273917,50.0723212</t>
    </r>
  </si>
  <si>
    <t>CUS413</t>
  </si>
  <si>
    <t>تموينات ضلال زبون</t>
  </si>
  <si>
    <t>26.428645, 50.0729483</t>
  </si>
  <si>
    <r>
      <rPr>
        <u/>
        <sz val="9"/>
        <color rgb="FF1155CC"/>
        <rFont val="Arial, sans-serif"/>
      </rPr>
      <t>https://maps.google.com/?q=26.428645,50.0729483</t>
    </r>
  </si>
  <si>
    <t>CUS414</t>
  </si>
  <si>
    <t>شركة ساحل الجبيل</t>
  </si>
  <si>
    <t>26.4384388, 50.0805625</t>
  </si>
  <si>
    <r>
      <rPr>
        <u/>
        <sz val="9"/>
        <color rgb="FF1155CC"/>
        <rFont val="Arial, sans-serif"/>
      </rPr>
      <t>https://maps.google.com/?q=26.4384388,50.0805625</t>
    </r>
  </si>
  <si>
    <t>CUS415</t>
  </si>
  <si>
    <t>26.44067, 50.0794117</t>
  </si>
  <si>
    <r>
      <rPr>
        <u/>
        <sz val="9"/>
        <color rgb="FF1155CC"/>
        <rFont val="Arial, sans-serif"/>
      </rPr>
      <t>https://maps.google.com/?q=26.44067,50.0794117</t>
    </r>
  </si>
  <si>
    <t>CUS416</t>
  </si>
  <si>
    <t>شركة البادية كوم</t>
  </si>
  <si>
    <t>محمد علي</t>
  </si>
  <si>
    <t>26.4356879, 50.0795943</t>
  </si>
  <si>
    <r>
      <rPr>
        <u/>
        <sz val="9"/>
        <color rgb="FF1155CC"/>
        <rFont val="Arial, sans-serif"/>
      </rPr>
      <t>https://maps.google.com/?q=26.4356879,50.0795943</t>
    </r>
  </si>
  <si>
    <t>CUS417</t>
  </si>
  <si>
    <t>بقالة الحديقة</t>
  </si>
  <si>
    <t>26.4358833, 50.071335</t>
  </si>
  <si>
    <r>
      <rPr>
        <u/>
        <sz val="9"/>
        <color rgb="FF1155CC"/>
        <rFont val="Arial, sans-serif"/>
      </rPr>
      <t>https://maps.google.com/?q=26.4358833,50.071335</t>
    </r>
  </si>
  <si>
    <t>CUS418</t>
  </si>
  <si>
    <t>بقالة أغراض الحارة</t>
  </si>
  <si>
    <t>صابر</t>
  </si>
  <si>
    <t>26.442075, 50.07818</t>
  </si>
  <si>
    <r>
      <rPr>
        <u/>
        <sz val="9"/>
        <color rgb="FF1155CC"/>
        <rFont val="Arial, sans-serif"/>
      </rPr>
      <t>https://maps.google.com/?q=26.442075,50.07818</t>
    </r>
  </si>
  <si>
    <t>CUS419</t>
  </si>
  <si>
    <t>تموينات ابو الحوائج</t>
  </si>
  <si>
    <t>26.445115, 50.07525</t>
  </si>
  <si>
    <r>
      <rPr>
        <u/>
        <sz val="9"/>
        <color rgb="FF1155CC"/>
        <rFont val="Arial, sans-serif"/>
      </rPr>
      <t>https://maps.google.com/?q=26.445115,50.07525</t>
    </r>
  </si>
  <si>
    <t>CUS420</t>
  </si>
  <si>
    <t>تموينات نجود</t>
  </si>
  <si>
    <t>26.4460683, 50.0705217</t>
  </si>
  <si>
    <r>
      <rPr>
        <u/>
        <sz val="9"/>
        <color rgb="FF1155CC"/>
        <rFont val="Arial, sans-serif"/>
      </rPr>
      <t>https://maps.google.com/?q=26.4460683,50.0705217</t>
    </r>
  </si>
  <si>
    <t>CUS421</t>
  </si>
  <si>
    <t>تموينات قمم مسكوب</t>
  </si>
  <si>
    <t>26.4488306, 50.0743452</t>
  </si>
  <si>
    <r>
      <rPr>
        <u/>
        <sz val="9"/>
        <color rgb="FF1155CC"/>
        <rFont val="Arial, sans-serif"/>
      </rPr>
      <t>https://maps.google.com/?q=26.4488306,50.0743452</t>
    </r>
  </si>
  <si>
    <t>CUS422</t>
  </si>
  <si>
    <t>سلة الرضاء</t>
  </si>
  <si>
    <t>26.4497173, 50.0782662</t>
  </si>
  <si>
    <r>
      <rPr>
        <u/>
        <sz val="9"/>
        <color rgb="FF1155CC"/>
        <rFont val="Arial, sans-serif"/>
      </rPr>
      <t>https://maps.google.com/?q=26.4497173,50.0782662</t>
    </r>
  </si>
  <si>
    <t>CUS423</t>
  </si>
  <si>
    <t>اسواق الدرب المضيء</t>
  </si>
  <si>
    <t>26.4546, 50.0808117</t>
  </si>
  <si>
    <r>
      <rPr>
        <u/>
        <sz val="9"/>
        <color rgb="FF1155CC"/>
        <rFont val="Arial, sans-serif"/>
      </rPr>
      <t>https://maps.google.com/?q=26.4546,50.0808117</t>
    </r>
  </si>
  <si>
    <t>CUS424</t>
  </si>
  <si>
    <t>تموينات المصباح</t>
  </si>
  <si>
    <t>ابو عبدالرحمن</t>
  </si>
  <si>
    <t>26.4548867, 50.0696083</t>
  </si>
  <si>
    <r>
      <rPr>
        <u/>
        <sz val="9"/>
        <color rgb="FF1155CC"/>
        <rFont val="Arial, sans-serif"/>
      </rPr>
      <t>https://maps.google.com/?q=26.4548867,50.0696083</t>
    </r>
  </si>
  <si>
    <t>CUS425</t>
  </si>
  <si>
    <t>زيتون الشرقية للتسويق</t>
  </si>
  <si>
    <t>26.4548387, 50.0705554</t>
  </si>
  <si>
    <r>
      <rPr>
        <u/>
        <sz val="9"/>
        <color rgb="FF1155CC"/>
        <rFont val="Arial, sans-serif"/>
      </rPr>
      <t>https://maps.google.com/?q=26.4548387,50.0705554</t>
    </r>
  </si>
  <si>
    <t>CUS426</t>
  </si>
  <si>
    <t>تموينات نجمة الغدير</t>
  </si>
  <si>
    <t>26.45883, 50.0625867</t>
  </si>
  <si>
    <r>
      <rPr>
        <u/>
        <sz val="9"/>
        <color rgb="FF1155CC"/>
        <rFont val="Arial, sans-serif"/>
      </rPr>
      <t>https://maps.google.com/?q=26.45883,50.0625867</t>
    </r>
  </si>
  <si>
    <t>CUS427</t>
  </si>
  <si>
    <t>26.462845, 50.0620967</t>
  </si>
  <si>
    <r>
      <rPr>
        <u/>
        <sz val="9"/>
        <color rgb="FF1155CC"/>
        <rFont val="Arial, sans-serif"/>
      </rPr>
      <t>https://maps.google.com/?q=26.462845,50.0620967</t>
    </r>
  </si>
  <si>
    <t>CUS428</t>
  </si>
  <si>
    <t>نانا ماركت</t>
  </si>
  <si>
    <t>26.4613644, 50.0743801</t>
  </si>
  <si>
    <r>
      <rPr>
        <u/>
        <sz val="9"/>
        <color rgb="FF1155CC"/>
        <rFont val="Arial, sans-serif"/>
      </rPr>
      <t>https://maps.google.com/?q=26.4613644,50.0743801</t>
    </r>
  </si>
  <si>
    <t>CUS429</t>
  </si>
  <si>
    <t>اسواق خليج دلتا</t>
  </si>
  <si>
    <t>26.4591592, 50.0799536</t>
  </si>
  <si>
    <r>
      <rPr>
        <u/>
        <sz val="9"/>
        <color rgb="FF1155CC"/>
        <rFont val="Arial, sans-serif"/>
      </rPr>
      <t>https://maps.google.com/?q=26.4591592,50.0799536</t>
    </r>
  </si>
  <si>
    <t>CUS430</t>
  </si>
  <si>
    <t>تموينات دكان طازج</t>
  </si>
  <si>
    <t>عبدالجليل</t>
  </si>
  <si>
    <t>26.4721033, 50.06825</t>
  </si>
  <si>
    <r>
      <rPr>
        <u/>
        <sz val="9"/>
        <color rgb="FF1155CC"/>
        <rFont val="Arial, sans-serif"/>
      </rPr>
      <t>https://maps.google.com/?q=26.4721033,50.06825</t>
    </r>
  </si>
  <si>
    <t>CUS431</t>
  </si>
  <si>
    <t>اضواء المستهلك</t>
  </si>
  <si>
    <t>26.4646383, 50.0771833</t>
  </si>
  <si>
    <r>
      <rPr>
        <u/>
        <sz val="9"/>
        <color rgb="FF1155CC"/>
        <rFont val="Arial, sans-serif"/>
      </rPr>
      <t>https://maps.google.com/?q=26.4646383,50.0771833</t>
    </r>
  </si>
  <si>
    <t>CUS432</t>
  </si>
  <si>
    <t>بقالة اركان الاسعار</t>
  </si>
  <si>
    <t>26.4612528, 50.0814277</t>
  </si>
  <si>
    <r>
      <rPr>
        <u/>
        <sz val="9"/>
        <color rgb="FF1155CC"/>
        <rFont val="Arial, sans-serif"/>
      </rPr>
      <t>https://maps.google.com/?q=26.4612528,50.0814277</t>
    </r>
  </si>
  <si>
    <t>CUS433</t>
  </si>
  <si>
    <t>اسواق سلة روابي الجوهرة</t>
  </si>
  <si>
    <t>26.4612517, 50.0813167</t>
  </si>
  <si>
    <r>
      <rPr>
        <u/>
        <sz val="9"/>
        <color rgb="FF1155CC"/>
        <rFont val="Arial, sans-serif"/>
      </rPr>
      <t>https://maps.google.com/?q=26.4612517,50.0813167</t>
    </r>
  </si>
  <si>
    <t>CUS434</t>
  </si>
  <si>
    <t>شركة سما الجوهرة</t>
  </si>
  <si>
    <t>26.4618556, 50.0813524</t>
  </si>
  <si>
    <r>
      <rPr>
        <u/>
        <sz val="9"/>
        <color rgb="FF1155CC"/>
        <rFont val="Arial, sans-serif"/>
      </rPr>
      <t>https://maps.google.com/?q=26.4618556,50.0813524</t>
    </r>
  </si>
  <si>
    <t>CUS435</t>
  </si>
  <si>
    <t>تموينات بيت التواصل</t>
  </si>
  <si>
    <t>26.4620261, 50.0813025</t>
  </si>
  <si>
    <r>
      <rPr>
        <u/>
        <sz val="9"/>
        <color rgb="FF1155CC"/>
        <rFont val="Arial, sans-serif"/>
      </rPr>
      <t>https://maps.google.com/?q=26.4620261,50.0813025</t>
    </r>
  </si>
  <si>
    <t>CUS436</t>
  </si>
  <si>
    <t>مؤسسة سلة الشرقية</t>
  </si>
  <si>
    <t>26.4649443, 50.081251</t>
  </si>
  <si>
    <r>
      <rPr>
        <u/>
        <sz val="9"/>
        <color rgb="FF1155CC"/>
        <rFont val="Arial, sans-serif"/>
      </rPr>
      <t>https://maps.google.com/?q=26.4649443,50.081251</t>
    </r>
  </si>
  <si>
    <t>CUS437</t>
  </si>
  <si>
    <t>تموينات عبدالاله المحسن الفيفي</t>
  </si>
  <si>
    <t>26.46619, 50.0816033</t>
  </si>
  <si>
    <r>
      <rPr>
        <u/>
        <sz val="9"/>
        <color rgb="FF1155CC"/>
        <rFont val="Arial, sans-serif"/>
      </rPr>
      <t>https://maps.google.com/?q=26.46619,50.0816033</t>
    </r>
  </si>
  <si>
    <t>CUS438</t>
  </si>
  <si>
    <t>تموينات فنار المستقبل</t>
  </si>
  <si>
    <t>26.4665298, 50.0853037</t>
  </si>
  <si>
    <r>
      <rPr>
        <u/>
        <sz val="9"/>
        <color rgb="FF1155CC"/>
        <rFont val="Arial, sans-serif"/>
      </rPr>
      <t>https://maps.google.com/?q=26.4665298,50.0853037</t>
    </r>
  </si>
  <si>
    <t>CUS439</t>
  </si>
  <si>
    <t>تموينات مرنه</t>
  </si>
  <si>
    <t>26.4623667, 50.0923883</t>
  </si>
  <si>
    <r>
      <rPr>
        <u/>
        <sz val="9"/>
        <color rgb="FF1155CC"/>
        <rFont val="Arial, sans-serif"/>
      </rPr>
      <t>https://maps.google.com/?q=26.4623667,50.0923883</t>
    </r>
  </si>
  <si>
    <t>CUS440</t>
  </si>
  <si>
    <t>تموينات مستهلك الطازج</t>
  </si>
  <si>
    <t>26.4730617, 50.0873517</t>
  </si>
  <si>
    <r>
      <rPr>
        <u/>
        <sz val="9"/>
        <color rgb="FF1155CC"/>
        <rFont val="Arial, sans-serif"/>
      </rPr>
      <t>https://maps.google.com/?q=26.4730617,50.0873517</t>
    </r>
  </si>
  <si>
    <t>CUS441</t>
  </si>
  <si>
    <t>تموينات الافضل الرابع</t>
  </si>
  <si>
    <t>26.4720854, 50.0939203</t>
  </si>
  <si>
    <r>
      <rPr>
        <u/>
        <sz val="9"/>
        <color rgb="FF1155CC"/>
        <rFont val="Arial, sans-serif"/>
      </rPr>
      <t>https://maps.google.com/?q=26.4720854,50.0939203</t>
    </r>
  </si>
  <si>
    <t>CUS442</t>
  </si>
  <si>
    <t>تموينات نواف</t>
  </si>
  <si>
    <t>26.4678811, 50.0924192</t>
  </si>
  <si>
    <r>
      <rPr>
        <u/>
        <sz val="9"/>
        <color rgb="FF1155CC"/>
        <rFont val="Arial, sans-serif"/>
      </rPr>
      <t>https://maps.google.com/?q=26.4678811,50.0924192</t>
    </r>
  </si>
  <si>
    <t>CUS443</t>
  </si>
  <si>
    <t>تموينات سفن تاون</t>
  </si>
  <si>
    <t>26.4672646, 50.0929699</t>
  </si>
  <si>
    <r>
      <rPr>
        <u/>
        <sz val="9"/>
        <color rgb="FF1155CC"/>
        <rFont val="Arial, sans-serif"/>
      </rPr>
      <t>https://maps.google.com/?q=26.4672646,50.0929699</t>
    </r>
  </si>
  <si>
    <t>CUS444</t>
  </si>
  <si>
    <t>اسواق اصداف الجزيرة</t>
  </si>
  <si>
    <t>فيصل</t>
  </si>
  <si>
    <t>26.4657282, 50.0925569</t>
  </si>
  <si>
    <r>
      <rPr>
        <u/>
        <sz val="9"/>
        <color rgb="FF1155CC"/>
        <rFont val="Arial, sans-serif"/>
      </rPr>
      <t>https://maps.google.com/?q=26.4657282,50.0925569</t>
    </r>
  </si>
  <si>
    <t>CUS445</t>
  </si>
  <si>
    <t>شركة الطرباق</t>
  </si>
  <si>
    <t>26.464815, 50.0924489</t>
  </si>
  <si>
    <r>
      <rPr>
        <u/>
        <sz val="9"/>
        <color rgb="FF1155CC"/>
        <rFont val="Arial, sans-serif"/>
      </rPr>
      <t>https://maps.google.com/?q=26.464815,50.0924489</t>
    </r>
  </si>
  <si>
    <t>CUS446</t>
  </si>
  <si>
    <t>سلام الدمام</t>
  </si>
  <si>
    <t>26.4623433, 50.0923667</t>
  </si>
  <si>
    <r>
      <rPr>
        <u/>
        <sz val="9"/>
        <color rgb="FF1155CC"/>
        <rFont val="Arial, sans-serif"/>
      </rPr>
      <t>https://maps.google.com/?q=26.4623433,50.0923667</t>
    </r>
  </si>
  <si>
    <t>CUS447</t>
  </si>
  <si>
    <t>سما الجوهرة</t>
  </si>
  <si>
    <t>26.461625, 50.0925833</t>
  </si>
  <si>
    <r>
      <rPr>
        <u/>
        <sz val="9"/>
        <color rgb="FF1155CC"/>
        <rFont val="Arial, sans-serif"/>
      </rPr>
      <t>https://maps.google.com/?q=26.461625,50.0925833</t>
    </r>
  </si>
  <si>
    <t>CUS448</t>
  </si>
  <si>
    <t>يوسف وليد</t>
  </si>
  <si>
    <t>26.4597163, 50.0951501</t>
  </si>
  <si>
    <r>
      <rPr>
        <u/>
        <sz val="9"/>
        <color rgb="FF1155CC"/>
        <rFont val="Arial, sans-serif"/>
      </rPr>
      <t>https://maps.google.com/?q=26.4597163,50.0951501</t>
    </r>
  </si>
  <si>
    <t>CUS449</t>
  </si>
  <si>
    <t>تموينات الزهور المركزيه</t>
  </si>
  <si>
    <t>26.4553506, 50.0888374</t>
  </si>
  <si>
    <r>
      <rPr>
        <u/>
        <sz val="9"/>
        <color rgb="FF1155CC"/>
        <rFont val="Arial, sans-serif"/>
      </rPr>
      <t>https://maps.google.com/?q=26.4553506,50.0888374</t>
    </r>
  </si>
  <si>
    <t>CUS450</t>
  </si>
  <si>
    <t>شركة شمس الوليمة</t>
  </si>
  <si>
    <t>امير</t>
  </si>
  <si>
    <t>26.4541917, 50.0889333</t>
  </si>
  <si>
    <r>
      <rPr>
        <u/>
        <sz val="9"/>
        <color rgb="FF1155CC"/>
        <rFont val="Arial, sans-serif"/>
      </rPr>
      <t>https://maps.google.com/?q=26.4541917,50.0889333</t>
    </r>
  </si>
  <si>
    <t>CUS451</t>
  </si>
  <si>
    <t>مؤسسة سماء المستقبل</t>
  </si>
  <si>
    <t>26.4566255, 50.0920946</t>
  </si>
  <si>
    <r>
      <rPr>
        <u/>
        <sz val="9"/>
        <color rgb="FF1155CC"/>
        <rFont val="Arial, sans-serif"/>
      </rPr>
      <t>https://maps.google.com/?q=26.4566255,50.0920946</t>
    </r>
  </si>
  <si>
    <t>CUS452</t>
  </si>
  <si>
    <t>26.4537213, 50.0923071</t>
  </si>
  <si>
    <r>
      <rPr>
        <u/>
        <sz val="9"/>
        <color rgb="FF1155CC"/>
        <rFont val="Arial, sans-serif"/>
      </rPr>
      <t>https://maps.google.com/?q=26.4537213,50.0923071</t>
    </r>
  </si>
  <si>
    <t>CUS453</t>
  </si>
  <si>
    <t>تموينات شهد الحارة</t>
  </si>
  <si>
    <t>26.4490767, 50.0947333</t>
  </si>
  <si>
    <r>
      <rPr>
        <u/>
        <sz val="9"/>
        <color rgb="FF1155CC"/>
        <rFont val="Arial, sans-serif"/>
      </rPr>
      <t>https://maps.google.com/?q=26.4490767,50.0947333</t>
    </r>
  </si>
  <si>
    <t>CUS454</t>
  </si>
  <si>
    <t>الانصاري</t>
  </si>
  <si>
    <t>محمد طه</t>
  </si>
  <si>
    <t>26.4532995, 50.0963543</t>
  </si>
  <si>
    <r>
      <rPr>
        <u/>
        <sz val="9"/>
        <color rgb="FF1155CC"/>
        <rFont val="Arial, sans-serif"/>
      </rPr>
      <t>https://maps.google.com/?q=26.4532995,50.0963543</t>
    </r>
  </si>
  <si>
    <t>CUS455</t>
  </si>
  <si>
    <t>ركن مخازن الغذاء</t>
  </si>
  <si>
    <t>26.4547313, 50.096022</t>
  </si>
  <si>
    <r>
      <rPr>
        <u/>
        <sz val="9"/>
        <color rgb="FF1155CC"/>
        <rFont val="Arial, sans-serif"/>
      </rPr>
      <t>https://maps.google.com/?q=26.4547313,50.096022</t>
    </r>
  </si>
  <si>
    <t>CUS456</t>
  </si>
  <si>
    <t>تموينات الماسة الذهبية</t>
  </si>
  <si>
    <t>26.4534979, 50.1242849</t>
  </si>
  <si>
    <r>
      <rPr>
        <u/>
        <sz val="9"/>
        <color rgb="FF1155CC"/>
        <rFont val="Arial, sans-serif"/>
      </rPr>
      <t>https://maps.google.com/?q=26.4534979,50.1242849</t>
    </r>
  </si>
  <si>
    <t>CUS457</t>
  </si>
  <si>
    <t>سوبر ماركت نور</t>
  </si>
  <si>
    <t>26.4523364, 50.1283966</t>
  </si>
  <si>
    <r>
      <rPr>
        <u/>
        <sz val="9"/>
        <color rgb="FF1155CC"/>
        <rFont val="Arial, sans-serif"/>
      </rPr>
      <t>https://maps.google.com/?q=26.4523364,50.1283966</t>
    </r>
  </si>
  <si>
    <t>CUS458</t>
  </si>
  <si>
    <t>26.4536403, 50.0967366</t>
  </si>
  <si>
    <r>
      <rPr>
        <u/>
        <sz val="9"/>
        <color rgb="FF1155CC"/>
        <rFont val="Arial, sans-serif"/>
      </rPr>
      <t>https://maps.google.com/?q=26.4536403,50.0967366</t>
    </r>
  </si>
  <si>
    <t>CUS459</t>
  </si>
  <si>
    <t>تموينات قمة المستهلك</t>
  </si>
  <si>
    <t>عبدالعزيز</t>
  </si>
  <si>
    <t>26.4513183, 50.09671</t>
  </si>
  <si>
    <r>
      <rPr>
        <u/>
        <sz val="9"/>
        <color rgb="FF1155CC"/>
        <rFont val="Arial, sans-serif"/>
      </rPr>
      <t>https://maps.google.com/?q=26.4513183,50.09671</t>
    </r>
  </si>
  <si>
    <t>CUS460</t>
  </si>
  <si>
    <t>تموينات روائع المستهلك</t>
  </si>
  <si>
    <t>صلاح الدين طه</t>
  </si>
  <si>
    <t>26.4513333, 50.1050383</t>
  </si>
  <si>
    <r>
      <rPr>
        <u/>
        <sz val="9"/>
        <color rgb="FF1155CC"/>
        <rFont val="Arial, sans-serif"/>
      </rPr>
      <t>https://maps.google.com/?q=26.4513333,50.1050383</t>
    </r>
  </si>
  <si>
    <t>CUS461</t>
  </si>
  <si>
    <t>تموينات اضواء المستهلك</t>
  </si>
  <si>
    <t>26.4518783, 50.1056296</t>
  </si>
  <si>
    <r>
      <rPr>
        <u/>
        <sz val="9"/>
        <color rgb="FF1155CC"/>
        <rFont val="Arial, sans-serif"/>
      </rPr>
      <t>https://maps.google.com/?q=26.4518783,50.1056296</t>
    </r>
  </si>
  <si>
    <t>CUS462</t>
  </si>
  <si>
    <t>تموينات نور</t>
  </si>
  <si>
    <t>ابو تركي</t>
  </si>
  <si>
    <t>26.453334, 50.1061321</t>
  </si>
  <si>
    <r>
      <rPr>
        <u/>
        <sz val="9"/>
        <color rgb="FF1155CC"/>
        <rFont val="Arial, sans-serif"/>
      </rPr>
      <t>https://maps.google.com/?q=26.453334,50.1061321</t>
    </r>
  </si>
  <si>
    <t>CUS463</t>
  </si>
  <si>
    <t>مؤسسة تلال الديرة</t>
  </si>
  <si>
    <t>26.45168, 50.116345</t>
  </si>
  <si>
    <r>
      <rPr>
        <u/>
        <sz val="9"/>
        <color rgb="FF1155CC"/>
        <rFont val="Arial, sans-serif"/>
      </rPr>
      <t>https://maps.google.com/?q=26.45168,50.116345</t>
    </r>
  </si>
  <si>
    <t>CUS464</t>
  </si>
  <si>
    <t>ابو الياس</t>
  </si>
  <si>
    <t>26.4529182, 50.10867</t>
  </si>
  <si>
    <r>
      <rPr>
        <u/>
        <sz val="9"/>
        <color rgb="FF1155CC"/>
        <rFont val="Arial, sans-serif"/>
      </rPr>
      <t>https://maps.google.com/?q=26.4529182,50.10867</t>
    </r>
  </si>
  <si>
    <t>CUS465</t>
  </si>
  <si>
    <t>تموينات شموع الربيع</t>
  </si>
  <si>
    <t>26.4521807, 50.1085326</t>
  </si>
  <si>
    <r>
      <rPr>
        <u/>
        <sz val="9"/>
        <color rgb="FF1155CC"/>
        <rFont val="Arial, sans-serif"/>
      </rPr>
      <t>https://maps.google.com/?q=26.4521807,50.1085326</t>
    </r>
  </si>
  <si>
    <t>CUS466</t>
  </si>
  <si>
    <t>26.4495183, 50.1085167</t>
  </si>
  <si>
    <r>
      <rPr>
        <u/>
        <sz val="9"/>
        <color rgb="FF1155CC"/>
        <rFont val="Arial, sans-serif"/>
      </rPr>
      <t>https://maps.google.com/?q=26.4495183,50.1085167</t>
    </r>
  </si>
  <si>
    <t>CUS467</t>
  </si>
  <si>
    <t>بقالة سحاب اليسر</t>
  </si>
  <si>
    <t>26.4502286, 50.1124435</t>
  </si>
  <si>
    <r>
      <rPr>
        <u/>
        <sz val="9"/>
        <color rgb="FF1155CC"/>
        <rFont val="Arial, sans-serif"/>
      </rPr>
      <t>https://maps.google.com/?q=26.4502286,50.1124435</t>
    </r>
  </si>
  <si>
    <t>CUS468</t>
  </si>
  <si>
    <t>مؤسسة الركن المشرق</t>
  </si>
  <si>
    <t>ابو حسن</t>
  </si>
  <si>
    <t>26.4523181, 50.1139752</t>
  </si>
  <si>
    <r>
      <rPr>
        <u/>
        <sz val="9"/>
        <color rgb="FF1155CC"/>
        <rFont val="Arial, sans-serif"/>
      </rPr>
      <t>https://maps.google.com/?q=26.4523181,50.1139752</t>
    </r>
  </si>
  <si>
    <t>CUS469</t>
  </si>
  <si>
    <t>بقالة مساعد السعود</t>
  </si>
  <si>
    <t>اصيل</t>
  </si>
  <si>
    <t>26.4494737, 50.1158696</t>
  </si>
  <si>
    <r>
      <rPr>
        <u/>
        <sz val="9"/>
        <color rgb="FF1155CC"/>
        <rFont val="Arial, sans-serif"/>
      </rPr>
      <t>https://maps.google.com/?q=26.4494737,50.1158696</t>
    </r>
  </si>
  <si>
    <t>CUS470</t>
  </si>
  <si>
    <t>بقالة ولي ستور</t>
  </si>
  <si>
    <t>26.4487264, 50.1149685</t>
  </si>
  <si>
    <r>
      <rPr>
        <u/>
        <sz val="9"/>
        <color rgb="FF1155CC"/>
        <rFont val="Arial, sans-serif"/>
      </rPr>
      <t>https://maps.google.com/?q=26.4487264,50.1149685</t>
    </r>
  </si>
  <si>
    <t>CUS471</t>
  </si>
  <si>
    <t>26.4483083, 50.11801</t>
  </si>
  <si>
    <r>
      <rPr>
        <u/>
        <sz val="9"/>
        <color rgb="FF1155CC"/>
        <rFont val="Arial, sans-serif"/>
      </rPr>
      <t>https://maps.google.com/?q=26.4483083,50.11801</t>
    </r>
  </si>
  <si>
    <t>CUS472</t>
  </si>
  <si>
    <t>بقالة ورود النورس</t>
  </si>
  <si>
    <t>26.4110217, 50.1775917</t>
  </si>
  <si>
    <r>
      <rPr>
        <u/>
        <sz val="9"/>
        <color rgb="FF1155CC"/>
        <rFont val="Arial, sans-serif"/>
      </rPr>
      <t>https://maps.google.com/?q=26.4110217,50.1775917</t>
    </r>
  </si>
  <si>
    <t>CUS473</t>
  </si>
  <si>
    <t>تموينات جسر الدانه</t>
  </si>
  <si>
    <t>26.4052517, 50.1848183</t>
  </si>
  <si>
    <r>
      <rPr>
        <u/>
        <sz val="9"/>
        <color rgb="FF1155CC"/>
        <rFont val="Arial, sans-serif"/>
      </rPr>
      <t>https://maps.google.com/?q=26.4052517,50.1848183</t>
    </r>
  </si>
  <si>
    <t>CUS474</t>
  </si>
  <si>
    <t>ثلاثية الابعاد</t>
  </si>
  <si>
    <t>26.40711, 50.1878267</t>
  </si>
  <si>
    <r>
      <rPr>
        <u/>
        <sz val="9"/>
        <color rgb="FF1155CC"/>
        <rFont val="Arial, sans-serif"/>
      </rPr>
      <t>https://maps.google.com/?q=26.40711,50.1878267</t>
    </r>
  </si>
  <si>
    <t>CUS475</t>
  </si>
  <si>
    <t>تموينات الحاضرة</t>
  </si>
  <si>
    <t>26.408105, 50.1858833</t>
  </si>
  <si>
    <r>
      <rPr>
        <u/>
        <sz val="9"/>
        <color rgb="FF1155CC"/>
        <rFont val="Arial, sans-serif"/>
      </rPr>
      <t>https://maps.google.com/?q=26.408105,50.1858833</t>
    </r>
  </si>
  <si>
    <t>CUS476</t>
  </si>
  <si>
    <t>تموينات خشمان</t>
  </si>
  <si>
    <t>26.4155317, 50.184275</t>
  </si>
  <si>
    <r>
      <rPr>
        <u/>
        <sz val="9"/>
        <color rgb="FF1155CC"/>
        <rFont val="Arial, sans-serif"/>
      </rPr>
      <t>https://maps.google.com/?q=26.4155317,50.184275</t>
    </r>
  </si>
  <si>
    <t>CUS477</t>
  </si>
  <si>
    <t>بقالة كنوز الصبر</t>
  </si>
  <si>
    <t>اشرف</t>
  </si>
  <si>
    <t>26.4137767, 50.18032</t>
  </si>
  <si>
    <r>
      <rPr>
        <u/>
        <sz val="9"/>
        <color rgb="FF1155CC"/>
        <rFont val="Arial, sans-serif"/>
      </rPr>
      <t>https://maps.google.com/?q=26.4137767,50.18032</t>
    </r>
  </si>
  <si>
    <t>CUS478</t>
  </si>
  <si>
    <t>تموينات تركي</t>
  </si>
  <si>
    <t>26.3810859, 50.2079254</t>
  </si>
  <si>
    <r>
      <rPr>
        <u/>
        <sz val="9"/>
        <color rgb="FF1155CC"/>
        <rFont val="Arial, sans-serif"/>
      </rPr>
      <t>https://maps.google.com/?q=26.3810859,50.2079254</t>
    </r>
  </si>
  <si>
    <t>CUS479</t>
  </si>
  <si>
    <t>سوبر ماركت نرجس</t>
  </si>
  <si>
    <t>26.3788518, 50.1963424</t>
  </si>
  <si>
    <r>
      <rPr>
        <u/>
        <sz val="9"/>
        <color rgb="FF1155CC"/>
        <rFont val="Arial, sans-serif"/>
      </rPr>
      <t>https://maps.google.com/?q=26.3788518,50.1963424</t>
    </r>
  </si>
  <si>
    <t>CUS480</t>
  </si>
  <si>
    <t>26.3203322, 50.2166103</t>
  </si>
  <si>
    <r>
      <rPr>
        <u/>
        <sz val="9"/>
        <color rgb="FF1155CC"/>
        <rFont val="Arial, sans-serif"/>
      </rPr>
      <t>https://maps.google.com/?q=26.3203322,50.2166103</t>
    </r>
  </si>
  <si>
    <t>CUS481</t>
  </si>
  <si>
    <t>26.304225, 50.213365</t>
  </si>
  <si>
    <r>
      <rPr>
        <u/>
        <sz val="9"/>
        <color rgb="FF1155CC"/>
        <rFont val="Arial, sans-serif"/>
      </rPr>
      <t>https://maps.google.com/?q=26.304225,50.213365</t>
    </r>
  </si>
  <si>
    <t>CUS482</t>
  </si>
  <si>
    <t>26.3189717, 50.2156683</t>
  </si>
  <si>
    <r>
      <rPr>
        <u/>
        <sz val="9"/>
        <color rgb="FF1155CC"/>
        <rFont val="Arial, sans-serif"/>
      </rPr>
      <t>https://maps.google.com/?q=26.3189717,50.2156683</t>
    </r>
  </si>
  <si>
    <t>CUS483</t>
  </si>
  <si>
    <t>بقالة بيدي</t>
  </si>
  <si>
    <t>26.3207283, 50.2118967</t>
  </si>
  <si>
    <r>
      <rPr>
        <u/>
        <sz val="9"/>
        <color rgb="FF1155CC"/>
        <rFont val="Arial, sans-serif"/>
      </rPr>
      <t>https://maps.google.com/?q=26.3207283,50.2118967</t>
    </r>
  </si>
  <si>
    <t>CUS484</t>
  </si>
  <si>
    <t>روابي الخير</t>
  </si>
  <si>
    <t>ماجد</t>
  </si>
  <si>
    <t>26.326385, 50.212855</t>
  </si>
  <si>
    <r>
      <rPr>
        <u/>
        <sz val="9"/>
        <color rgb="FF1155CC"/>
        <rFont val="Arial, sans-serif"/>
      </rPr>
      <t>https://maps.google.com/?q=26.326385,50.212855</t>
    </r>
  </si>
  <si>
    <t>CUS485</t>
  </si>
  <si>
    <t>أسواق ميلا</t>
  </si>
  <si>
    <t>مهند</t>
  </si>
  <si>
    <t>26.3529231, 50.2013833</t>
  </si>
  <si>
    <r>
      <rPr>
        <u/>
        <sz val="9"/>
        <color rgb="FF1155CC"/>
        <rFont val="Arial, sans-serif"/>
      </rPr>
      <t>https://maps.google.com/?q=26.3529231,50.2013833</t>
    </r>
  </si>
  <si>
    <t>CUS486</t>
  </si>
  <si>
    <t>تموينات</t>
  </si>
  <si>
    <t>26.3520083, 50.1996133</t>
  </si>
  <si>
    <r>
      <rPr>
        <u/>
        <sz val="9"/>
        <color rgb="FF1155CC"/>
        <rFont val="Arial, sans-serif"/>
      </rPr>
      <t>https://maps.google.com/?q=26.3520083,50.1996133</t>
    </r>
  </si>
  <si>
    <t>CUS487</t>
  </si>
  <si>
    <t>تموينات رازان</t>
  </si>
  <si>
    <t>26.3542017, 50.2016667</t>
  </si>
  <si>
    <r>
      <rPr>
        <u/>
        <sz val="9"/>
        <color rgb="FF1155CC"/>
        <rFont val="Arial, sans-serif"/>
      </rPr>
      <t>https://maps.google.com/?q=26.3542017,50.2016667</t>
    </r>
  </si>
  <si>
    <t>CUS488</t>
  </si>
  <si>
    <t>مؤسسة عذبية زايد</t>
  </si>
  <si>
    <t>26.3569717, 50.2030283</t>
  </si>
  <si>
    <r>
      <rPr>
        <u/>
        <sz val="9"/>
        <color rgb="FF1155CC"/>
        <rFont val="Arial, sans-serif"/>
      </rPr>
      <t>https://maps.google.com/?q=26.3569717,50.2030283</t>
    </r>
  </si>
  <si>
    <t>CUS489</t>
  </si>
  <si>
    <t>بقالة حي السعودية</t>
  </si>
  <si>
    <t>26.35793, 50.200385</t>
  </si>
  <si>
    <r>
      <rPr>
        <u/>
        <sz val="9"/>
        <color rgb="FF1155CC"/>
        <rFont val="Arial, sans-serif"/>
      </rPr>
      <t>https://maps.google.com/?q=26.35793,50.200385</t>
    </r>
  </si>
  <si>
    <t>CUS490</t>
  </si>
  <si>
    <t>اسواق السلة الذهبية</t>
  </si>
  <si>
    <t>سالم علي</t>
  </si>
  <si>
    <t>26.365695, 50.204065</t>
  </si>
  <si>
    <r>
      <rPr>
        <u/>
        <sz val="9"/>
        <color rgb="FF1155CC"/>
        <rFont val="Arial, sans-serif"/>
      </rPr>
      <t>https://maps.google.com/?q=26.365695,50.204065</t>
    </r>
  </si>
  <si>
    <t>CUS491</t>
  </si>
  <si>
    <t>ريحانة الفيصلية</t>
  </si>
  <si>
    <t>26.3547095, 50.1933936</t>
  </si>
  <si>
    <r>
      <rPr>
        <u/>
        <sz val="9"/>
        <color rgb="FF1155CC"/>
        <rFont val="Arial, sans-serif"/>
      </rPr>
      <t>https://maps.google.com/?q=26.3547095,50.1933936</t>
    </r>
  </si>
  <si>
    <t>CUS492</t>
  </si>
  <si>
    <t>أسواق خدمة العملاء</t>
  </si>
  <si>
    <t>26.3597283, 50.19105</t>
  </si>
  <si>
    <r>
      <rPr>
        <u/>
        <sz val="9"/>
        <color rgb="FF1155CC"/>
        <rFont val="Arial, sans-serif"/>
      </rPr>
      <t>https://maps.google.com/?q=26.3597283,50.19105</t>
    </r>
  </si>
  <si>
    <t>CUS493</t>
  </si>
  <si>
    <t>اسواق نهار</t>
  </si>
  <si>
    <t>26.3799591, 50.1818528</t>
  </si>
  <si>
    <r>
      <rPr>
        <u/>
        <sz val="9"/>
        <color rgb="FF1155CC"/>
        <rFont val="Arial, sans-serif"/>
      </rPr>
      <t>https://maps.google.com/?q=26.3799591,50.1818528</t>
    </r>
  </si>
  <si>
    <t>CUS494</t>
  </si>
  <si>
    <t>26.374165, 50.1786583</t>
  </si>
  <si>
    <r>
      <rPr>
        <u/>
        <sz val="9"/>
        <color rgb="FF1155CC"/>
        <rFont val="Arial, sans-serif"/>
      </rPr>
      <t>https://maps.google.com/?q=26.374165,50.1786583</t>
    </r>
  </si>
  <si>
    <t>CUS495</t>
  </si>
  <si>
    <t>بقالة عبد العزيز ابراهيم العوفي</t>
  </si>
  <si>
    <t>صدام</t>
  </si>
  <si>
    <t>26.373959, 50.1919781</t>
  </si>
  <si>
    <r>
      <rPr>
        <u/>
        <sz val="9"/>
        <color rgb="FF1155CC"/>
        <rFont val="Arial, sans-serif"/>
      </rPr>
      <t>https://maps.google.com/?q=26.373959,50.1919781</t>
    </r>
  </si>
  <si>
    <t>CUS496</t>
  </si>
  <si>
    <t>مؤسسة تاج محل</t>
  </si>
  <si>
    <t>26.3699706, 50.1904769</t>
  </si>
  <si>
    <r>
      <rPr>
        <u/>
        <sz val="9"/>
        <color rgb="FF1155CC"/>
        <rFont val="Arial, sans-serif"/>
      </rPr>
      <t>https://maps.google.com/?q=26.3699706,50.1904769</t>
    </r>
  </si>
  <si>
    <t>CUS497</t>
  </si>
  <si>
    <t>مؤسسة الارض الخضراء</t>
  </si>
  <si>
    <t>26.368825, 50.18834</t>
  </si>
  <si>
    <r>
      <rPr>
        <u/>
        <sz val="9"/>
        <color rgb="FF1155CC"/>
        <rFont val="Arial, sans-serif"/>
      </rPr>
      <t>https://maps.google.com/?q=26.368825,50.18834</t>
    </r>
  </si>
  <si>
    <t>CUS498</t>
  </si>
  <si>
    <t>تموينات دانة الاولى الخضراء</t>
  </si>
  <si>
    <t>26.3640332, 50.1921724</t>
  </si>
  <si>
    <r>
      <rPr>
        <u/>
        <sz val="9"/>
        <color rgb="FF1155CC"/>
        <rFont val="Arial, sans-serif"/>
      </rPr>
      <t>https://maps.google.com/?q=26.3640332,50.1921724</t>
    </r>
  </si>
  <si>
    <t>CUS499</t>
  </si>
  <si>
    <t>مون ماركت</t>
  </si>
  <si>
    <t>26.3616587, 50.1946445</t>
  </si>
  <si>
    <r>
      <rPr>
        <u/>
        <sz val="9"/>
        <color rgb="FF1155CC"/>
        <rFont val="Arial, sans-serif"/>
      </rPr>
      <t>https://maps.google.com/?q=26.3616587,50.1946445</t>
    </r>
  </si>
  <si>
    <t>CUS500</t>
  </si>
  <si>
    <t>مؤسسة الحسام الفضي</t>
  </si>
  <si>
    <t>26.3647584, 50.2013497</t>
  </si>
  <si>
    <r>
      <rPr>
        <u/>
        <sz val="9"/>
        <color rgb="FF1155CC"/>
        <rFont val="Arial, sans-serif"/>
      </rPr>
      <t>https://maps.google.com/?q=26.3647584,50.2013497</t>
    </r>
  </si>
  <si>
    <t>CUS501</t>
  </si>
  <si>
    <t>تموينات يوم سهل</t>
  </si>
  <si>
    <t>26.365097, 50.2019488</t>
  </si>
  <si>
    <r>
      <rPr>
        <u/>
        <sz val="9"/>
        <color rgb="FF1155CC"/>
        <rFont val="Arial, sans-serif"/>
      </rPr>
      <t>https://maps.google.com/?q=26.365097,50.2019488</t>
    </r>
  </si>
  <si>
    <t>CUS502</t>
  </si>
  <si>
    <t>تموينات طالب علي النهدي</t>
  </si>
  <si>
    <t>26.4150617, 50.1700783</t>
  </si>
  <si>
    <r>
      <rPr>
        <u/>
        <sz val="9"/>
        <color rgb="FF1155CC"/>
        <rFont val="Arial, sans-serif"/>
      </rPr>
      <t>https://maps.google.com/?q=26.4150617,50.1700783</t>
    </r>
  </si>
  <si>
    <t>CUS503</t>
  </si>
  <si>
    <t>اركان الغذاء</t>
  </si>
  <si>
    <t>26.4308617, 50.1328917</t>
  </si>
  <si>
    <r>
      <rPr>
        <u/>
        <sz val="9"/>
        <color rgb="FF1155CC"/>
        <rFont val="Arial, sans-serif"/>
      </rPr>
      <t>https://maps.google.com/?q=26.4308617,50.1328917</t>
    </r>
  </si>
  <si>
    <t>CUS504</t>
  </si>
  <si>
    <t>26.456685, 50.117745</t>
  </si>
  <si>
    <r>
      <rPr>
        <u/>
        <sz val="9"/>
        <color rgb="FF1155CC"/>
        <rFont val="Arial, sans-serif"/>
      </rPr>
      <t>https://maps.google.com/?q=26.456685,50.117745</t>
    </r>
  </si>
  <si>
    <t>CUS505</t>
  </si>
  <si>
    <t>تموينات تهاني</t>
  </si>
  <si>
    <t>26.4680867, 50.1208733</t>
  </si>
  <si>
    <r>
      <rPr>
        <u/>
        <sz val="9"/>
        <color rgb="FF1155CC"/>
        <rFont val="Arial, sans-serif"/>
      </rPr>
      <t>https://maps.google.com/?q=26.4680867,50.1208733</t>
    </r>
  </si>
  <si>
    <t>CUS506</t>
  </si>
  <si>
    <t>تموينات أزهار الشاطئ</t>
  </si>
  <si>
    <t>26.4764773, 50.1184975</t>
  </si>
  <si>
    <r>
      <rPr>
        <u/>
        <sz val="9"/>
        <color rgb="FF1155CC"/>
        <rFont val="Arial, sans-serif"/>
      </rPr>
      <t>https://maps.google.com/?q=26.4764773,50.1184975</t>
    </r>
  </si>
  <si>
    <t>CUS507</t>
  </si>
  <si>
    <t>تموينات وردة</t>
  </si>
  <si>
    <t>سند</t>
  </si>
  <si>
    <t>CUS508</t>
  </si>
  <si>
    <t>26.4933617, 50.124035</t>
  </si>
  <si>
    <r>
      <rPr>
        <u/>
        <sz val="9"/>
        <color rgb="FF1155CC"/>
        <rFont val="Arial, sans-serif"/>
      </rPr>
      <t>https://maps.google.com/?q=26.4933617,50.124035</t>
    </r>
  </si>
  <si>
    <t>CUS509</t>
  </si>
  <si>
    <t>بقالة فاطمة احمد بن محمد الحمد علي</t>
  </si>
  <si>
    <t>26.4884617, 50.1289033</t>
  </si>
  <si>
    <r>
      <rPr>
        <u/>
        <sz val="9"/>
        <color rgb="FF1155CC"/>
        <rFont val="Arial, sans-serif"/>
      </rPr>
      <t>https://maps.google.com/?q=26.4884617,50.1289033</t>
    </r>
  </si>
  <si>
    <t>CUS510</t>
  </si>
  <si>
    <t>تموينات شاطئ الغروب</t>
  </si>
  <si>
    <t>عبدالله بن مرضاع</t>
  </si>
  <si>
    <t>26.481985, 50.1269418</t>
  </si>
  <si>
    <r>
      <rPr>
        <u/>
        <sz val="9"/>
        <color rgb="FF1155CC"/>
        <rFont val="Arial, sans-serif"/>
      </rPr>
      <t>https://maps.google.com/?q=26.481985,50.1269418</t>
    </r>
  </si>
  <si>
    <t>CUS511</t>
  </si>
  <si>
    <t>تموينات الحوهرة</t>
  </si>
  <si>
    <t>26.4715983, 50.13101</t>
  </si>
  <si>
    <r>
      <rPr>
        <u/>
        <sz val="9"/>
        <color rgb="FF1155CC"/>
        <rFont val="Arial, sans-serif"/>
      </rPr>
      <t>https://maps.google.com/?q=26.4715983,50.13101</t>
    </r>
  </si>
  <si>
    <t>CUS512</t>
  </si>
  <si>
    <t>تسويق الخليج</t>
  </si>
  <si>
    <t>ابو عثمان</t>
  </si>
  <si>
    <t>26.4640533, 50.1237267</t>
  </si>
  <si>
    <r>
      <rPr>
        <u/>
        <sz val="9"/>
        <color rgb="FF1155CC"/>
        <rFont val="Arial, sans-serif"/>
      </rPr>
      <t>https://maps.google.com/?q=26.4640533,50.1237267</t>
    </r>
  </si>
  <si>
    <t>CUS513</t>
  </si>
  <si>
    <t>26.4567517, 50.1227117</t>
  </si>
  <si>
    <r>
      <rPr>
        <u/>
        <sz val="9"/>
        <color rgb="FF1155CC"/>
        <rFont val="Arial, sans-serif"/>
      </rPr>
      <t>https://maps.google.com/?q=26.4567517,50.1227117</t>
    </r>
  </si>
  <si>
    <t>CUS514</t>
  </si>
  <si>
    <t>26.45645, 50.130045</t>
  </si>
  <si>
    <r>
      <rPr>
        <u/>
        <sz val="9"/>
        <color rgb="FF1155CC"/>
        <rFont val="Arial, sans-serif"/>
      </rPr>
      <t>https://maps.google.com/?q=26.45645,50.130045</t>
    </r>
  </si>
  <si>
    <t>CUS515</t>
  </si>
  <si>
    <t>اسواق كيان وهلا</t>
  </si>
  <si>
    <t>26.4518015, 50.1275205</t>
  </si>
  <si>
    <r>
      <rPr>
        <u/>
        <sz val="9"/>
        <color rgb="FF1155CC"/>
        <rFont val="Arial, sans-serif"/>
      </rPr>
      <t>https://maps.google.com/?q=26.4518015,50.1275205</t>
    </r>
  </si>
  <si>
    <t>CUS516</t>
  </si>
  <si>
    <t>بقالة زاوية الاهل</t>
  </si>
  <si>
    <t>26.4519567, 50.1229067</t>
  </si>
  <si>
    <r>
      <rPr>
        <u/>
        <sz val="9"/>
        <color rgb="FF1155CC"/>
        <rFont val="Arial, sans-serif"/>
      </rPr>
      <t>https://maps.google.com/?q=26.4519567,50.1229067</t>
    </r>
  </si>
  <si>
    <t>CUS517</t>
  </si>
  <si>
    <t>تموينات اهل الفريج</t>
  </si>
  <si>
    <t>سليم</t>
  </si>
  <si>
    <t>26.4490371, 50.1200453</t>
  </si>
  <si>
    <r>
      <rPr>
        <u/>
        <sz val="9"/>
        <color rgb="FF1155CC"/>
        <rFont val="Arial, sans-serif"/>
      </rPr>
      <t>https://maps.google.com/?q=26.4490371,50.1200453</t>
    </r>
  </si>
  <si>
    <t>CUS518</t>
  </si>
  <si>
    <t>26.44896, 50.119075</t>
  </si>
  <si>
    <r>
      <rPr>
        <u/>
        <sz val="9"/>
        <color rgb="FF1155CC"/>
        <rFont val="Arial, sans-serif"/>
      </rPr>
      <t>https://maps.google.com/?q=26.44896,50.119075</t>
    </r>
  </si>
  <si>
    <t>CUS519</t>
  </si>
  <si>
    <t>مؤسسة نفلا صالح</t>
  </si>
  <si>
    <t>26.44413, 50.1242183</t>
  </si>
  <si>
    <r>
      <rPr>
        <u/>
        <sz val="9"/>
        <color rgb="FF1155CC"/>
        <rFont val="Arial, sans-serif"/>
      </rPr>
      <t>https://maps.google.com/?q=26.44413,50.1242183</t>
    </r>
  </si>
  <si>
    <t>CUS520</t>
  </si>
  <si>
    <t>شركة سما الجوهرة التجارية</t>
  </si>
  <si>
    <t>رمزي العواضي</t>
  </si>
  <si>
    <t>26.4396868, 50.1250765</t>
  </si>
  <si>
    <r>
      <rPr>
        <u/>
        <sz val="9"/>
        <color rgb="FF1155CC"/>
        <rFont val="Arial, sans-serif"/>
      </rPr>
      <t>https://maps.google.com/?q=26.4396868,50.1250765</t>
    </r>
  </si>
  <si>
    <t>CUS521</t>
  </si>
  <si>
    <t>أسواق كنوز</t>
  </si>
  <si>
    <t>26.4403445, 50.1232503</t>
  </si>
  <si>
    <r>
      <rPr>
        <u/>
        <sz val="9"/>
        <color rgb="FF1155CC"/>
        <rFont val="Arial, sans-serif"/>
      </rPr>
      <t>https://maps.google.com/?q=26.4403445,50.1232503</t>
    </r>
  </si>
  <si>
    <t>CUS522</t>
  </si>
  <si>
    <t>مركز زهور نانا للتسويق</t>
  </si>
  <si>
    <t>26.4334483, 50.119905</t>
  </si>
  <si>
    <r>
      <rPr>
        <u/>
        <sz val="9"/>
        <color rgb="FF1155CC"/>
        <rFont val="Arial, sans-serif"/>
      </rPr>
      <t>https://maps.google.com/?q=26.4334483,50.119905</t>
    </r>
  </si>
  <si>
    <t>CUS523</t>
  </si>
  <si>
    <t>مؤسسة شموخ الخالدية</t>
  </si>
  <si>
    <t>26.4313517, 50.1210733</t>
  </si>
  <si>
    <r>
      <rPr>
        <u/>
        <sz val="9"/>
        <color rgb="FF1155CC"/>
        <rFont val="Arial, sans-serif"/>
      </rPr>
      <t>https://maps.google.com/?q=26.4313517,50.1210733</t>
    </r>
  </si>
  <si>
    <t>CUS524</t>
  </si>
  <si>
    <t>تموينات رواد الخيرات</t>
  </si>
  <si>
    <t>26.4329533, 50.1226347</t>
  </si>
  <si>
    <r>
      <rPr>
        <u/>
        <sz val="9"/>
        <color rgb="FF1155CC"/>
        <rFont val="Arial, sans-serif"/>
      </rPr>
      <t>https://maps.google.com/?q=26.4329533,50.1226347</t>
    </r>
  </si>
  <si>
    <t>CUS525</t>
  </si>
  <si>
    <t>تموينات فجر الخريف</t>
  </si>
  <si>
    <t>26.4364942, 50.1250328</t>
  </si>
  <si>
    <r>
      <rPr>
        <u/>
        <sz val="9"/>
        <color rgb="FF1155CC"/>
        <rFont val="Arial, sans-serif"/>
      </rPr>
      <t>https://maps.google.com/?q=26.4364942,50.1250328</t>
    </r>
  </si>
  <si>
    <t>CUS526</t>
  </si>
  <si>
    <t>تموينات الدانة</t>
  </si>
  <si>
    <t>26.4365967, 50.1193867</t>
  </si>
  <si>
    <r>
      <rPr>
        <u/>
        <sz val="9"/>
        <color rgb="FF1155CC"/>
        <rFont val="Arial, sans-serif"/>
      </rPr>
      <t>https://maps.google.com/?q=26.4365967,50.1193867</t>
    </r>
  </si>
  <si>
    <t>CUS527</t>
  </si>
  <si>
    <t>بقالة خيرات زادنا</t>
  </si>
  <si>
    <t>26.4349317, 50.1168233</t>
  </si>
  <si>
    <r>
      <rPr>
        <u/>
        <sz val="9"/>
        <color rgb="FF1155CC"/>
        <rFont val="Arial, sans-serif"/>
      </rPr>
      <t>https://maps.google.com/?q=26.4349317,50.1168233</t>
    </r>
  </si>
  <si>
    <t>CUS528</t>
  </si>
  <si>
    <t>بقالة عيد عبداللة المطيري</t>
  </si>
  <si>
    <t>26.4302986, 50.1127398</t>
  </si>
  <si>
    <r>
      <rPr>
        <u/>
        <sz val="9"/>
        <color rgb="FF1155CC"/>
        <rFont val="Arial, sans-serif"/>
      </rPr>
      <t>https://maps.google.com/?q=26.4302986,50.1127398</t>
    </r>
  </si>
  <si>
    <t>CUS529</t>
  </si>
  <si>
    <t>تموينات بيت تميراء</t>
  </si>
  <si>
    <t>26.4310133, 50.1103833</t>
  </si>
  <si>
    <r>
      <rPr>
        <u/>
        <sz val="9"/>
        <color rgb="FF1155CC"/>
        <rFont val="Arial, sans-serif"/>
      </rPr>
      <t>https://maps.google.com/?q=26.4310133,50.1103833</t>
    </r>
  </si>
  <si>
    <t>CUS530</t>
  </si>
  <si>
    <t>بقالة القرب الابيض</t>
  </si>
  <si>
    <t>26.42976, 50.1099217</t>
  </si>
  <si>
    <r>
      <rPr>
        <u/>
        <sz val="9"/>
        <color rgb="FF1155CC"/>
        <rFont val="Arial, sans-serif"/>
      </rPr>
      <t>https://maps.google.com/?q=26.42976,50.1099217</t>
    </r>
  </si>
  <si>
    <t>CUS531</t>
  </si>
  <si>
    <t>تموينات حنان عبدالرحمن محمد الصقر</t>
  </si>
  <si>
    <t>26.4239467, 50.1214917</t>
  </si>
  <si>
    <r>
      <rPr>
        <u/>
        <sz val="9"/>
        <color rgb="FF1155CC"/>
        <rFont val="Arial, sans-serif"/>
      </rPr>
      <t>https://maps.google.com/?q=26.4239467,50.1214917</t>
    </r>
  </si>
  <si>
    <t>CUS532</t>
  </si>
  <si>
    <t>شركة همة العرب</t>
  </si>
  <si>
    <t>26.4113581, 50.114944</t>
  </si>
  <si>
    <r>
      <rPr>
        <u/>
        <sz val="9"/>
        <color rgb="FF1155CC"/>
        <rFont val="Arial, sans-serif"/>
      </rPr>
      <t>https://maps.google.com/?q=26.4113581,50.114944</t>
    </r>
  </si>
  <si>
    <t>CUS533</t>
  </si>
  <si>
    <t>محل رقية محمد الجاسم</t>
  </si>
  <si>
    <t>26.3836917, 50.1411183</t>
  </si>
  <si>
    <r>
      <rPr>
        <u/>
        <sz val="9"/>
        <color rgb="FF1155CC"/>
        <rFont val="Arial, sans-serif"/>
      </rPr>
      <t>https://maps.google.com/?q=26.3836917,50.1411183</t>
    </r>
  </si>
  <si>
    <t>CUS534</t>
  </si>
  <si>
    <t>تموينات خدمة الزبون</t>
  </si>
  <si>
    <t>26.3834408, 50.1374159</t>
  </si>
  <si>
    <r>
      <rPr>
        <u/>
        <sz val="9"/>
        <color rgb="FF1155CC"/>
        <rFont val="Arial, sans-serif"/>
      </rPr>
      <t>https://maps.google.com/?q=26.3834408,50.1374159</t>
    </r>
  </si>
  <si>
    <t>CUS535</t>
  </si>
  <si>
    <t>درة المنتزه</t>
  </si>
  <si>
    <t>26.3813383, 50.1254217</t>
  </si>
  <si>
    <r>
      <rPr>
        <u/>
        <sz val="9"/>
        <color rgb="FF1155CC"/>
        <rFont val="Arial, sans-serif"/>
      </rPr>
      <t>https://maps.google.com/?q=26.3813383,50.1254217</t>
    </r>
  </si>
  <si>
    <t>CUS536</t>
  </si>
  <si>
    <t>اسواق قوز</t>
  </si>
  <si>
    <t>صالح المهري</t>
  </si>
  <si>
    <t>26.375753, 50.1243082</t>
  </si>
  <si>
    <r>
      <rPr>
        <u/>
        <sz val="9"/>
        <color rgb="FF1155CC"/>
        <rFont val="Arial, sans-serif"/>
      </rPr>
      <t>https://maps.google.com/?q=26.375753,50.1243082</t>
    </r>
  </si>
  <si>
    <t>CUS537</t>
  </si>
  <si>
    <t>نور الزاد 2</t>
  </si>
  <si>
    <t>26.383205, 50.1046917</t>
  </si>
  <si>
    <r>
      <rPr>
        <u/>
        <sz val="9"/>
        <color rgb="FF1155CC"/>
        <rFont val="Arial, sans-serif"/>
      </rPr>
      <t>https://maps.google.com/?q=26.383205,50.1046917</t>
    </r>
  </si>
  <si>
    <t>CUS538</t>
  </si>
  <si>
    <t>تموينات اطيب المشتريات</t>
  </si>
  <si>
    <t>26.4011435, 50.1050382</t>
  </si>
  <si>
    <r>
      <rPr>
        <u/>
        <sz val="9"/>
        <color rgb="FF1155CC"/>
        <rFont val="Arial, sans-serif"/>
      </rPr>
      <t>https://maps.google.com/?q=26.4011435,50.1050382</t>
    </r>
  </si>
  <si>
    <t>CUS539</t>
  </si>
  <si>
    <t>أسواق اضواء يا هلا 2</t>
  </si>
  <si>
    <t>26.3910594, 50.1046878</t>
  </si>
  <si>
    <r>
      <rPr>
        <u/>
        <sz val="9"/>
        <color rgb="FF1155CC"/>
        <rFont val="Arial, sans-serif"/>
      </rPr>
      <t>https://maps.google.com/?q=26.3910594,50.1046878</t>
    </r>
  </si>
  <si>
    <t>CUS540</t>
  </si>
  <si>
    <t>اسواق ومخابز هلا</t>
  </si>
  <si>
    <t>26.390135, 50.1127467</t>
  </si>
  <si>
    <r>
      <rPr>
        <u/>
        <sz val="9"/>
        <color rgb="FF1155CC"/>
        <rFont val="Arial, sans-serif"/>
      </rPr>
      <t>https://maps.google.com/?q=26.390135,50.1127467</t>
    </r>
  </si>
  <si>
    <t>CUS541</t>
  </si>
  <si>
    <t>مركز الوشام للتسويق</t>
  </si>
  <si>
    <t>ياسين</t>
  </si>
  <si>
    <t>26.4151485, 50.1169414</t>
  </si>
  <si>
    <r>
      <rPr>
        <u/>
        <sz val="9"/>
        <color rgb="FF1155CC"/>
        <rFont val="Arial, sans-serif"/>
      </rPr>
      <t>https://maps.google.com/?q=26.4151485,50.1169414</t>
    </r>
  </si>
  <si>
    <t>CUS542</t>
  </si>
  <si>
    <t>اسواق ومخابز أضواء ياهلا</t>
  </si>
  <si>
    <t>ابو اسامه</t>
  </si>
  <si>
    <t>26.4167086, 50.120166</t>
  </si>
  <si>
    <r>
      <rPr>
        <u/>
        <sz val="9"/>
        <color rgb="FF1155CC"/>
        <rFont val="Arial, sans-serif"/>
      </rPr>
      <t>https://maps.google.com/?q=26.4167086,50.120166</t>
    </r>
  </si>
  <si>
    <t>CUS543</t>
  </si>
  <si>
    <t>بقالة بيت الانوار</t>
  </si>
  <si>
    <t>26.414031, 50.1195742</t>
  </si>
  <si>
    <r>
      <rPr>
        <u/>
        <sz val="9"/>
        <color rgb="FF1155CC"/>
        <rFont val="Arial, sans-serif"/>
      </rPr>
      <t>https://maps.google.com/?q=26.414031,50.1195742</t>
    </r>
  </si>
  <si>
    <t>CUS544</t>
  </si>
  <si>
    <t>ابو عمار</t>
  </si>
  <si>
    <t>26.4127352, 50.1216671</t>
  </si>
  <si>
    <r>
      <rPr>
        <u/>
        <sz val="9"/>
        <color rgb="FF1155CC"/>
        <rFont val="Arial, sans-serif"/>
      </rPr>
      <t>https://maps.google.com/?q=26.4127352,50.1216671</t>
    </r>
  </si>
  <si>
    <t>CUS545</t>
  </si>
  <si>
    <t>تموينات جارالله ابراهيم حسين القحطاني</t>
  </si>
  <si>
    <t>26.4175927, 50.1142378</t>
  </si>
  <si>
    <r>
      <rPr>
        <u/>
        <sz val="9"/>
        <color rgb="FF1155CC"/>
        <rFont val="Arial, sans-serif"/>
      </rPr>
      <t>https://maps.google.com/?q=26.4175927,50.1142378</t>
    </r>
  </si>
  <si>
    <t>CUS546</t>
  </si>
  <si>
    <t>تموينات الامواج الساحرة</t>
  </si>
  <si>
    <t>26.4130351, 50.1119464</t>
  </si>
  <si>
    <r>
      <rPr>
        <u/>
        <sz val="9"/>
        <color rgb="FF1155CC"/>
        <rFont val="Arial, sans-serif"/>
      </rPr>
      <t>https://maps.google.com/?q=26.4130351,50.1119464</t>
    </r>
  </si>
  <si>
    <t>CUS547</t>
  </si>
  <si>
    <t>تموينات بذور العافية</t>
  </si>
  <si>
    <t>ابو عبدالله</t>
  </si>
  <si>
    <t>26.4073067, 50.108095</t>
  </si>
  <si>
    <r>
      <rPr>
        <u/>
        <sz val="9"/>
        <color rgb="FF1155CC"/>
        <rFont val="Arial, sans-serif"/>
      </rPr>
      <t>https://maps.google.com/?q=26.4073067,50.108095</t>
    </r>
  </si>
  <si>
    <t>CUS548</t>
  </si>
  <si>
    <t>تموينات جود السعاده</t>
  </si>
  <si>
    <t>26.4058807, 50.1078029</t>
  </si>
  <si>
    <r>
      <rPr>
        <u/>
        <sz val="9"/>
        <color rgb="FF1155CC"/>
        <rFont val="Arial, sans-serif"/>
      </rPr>
      <t>https://maps.google.com/?q=26.4058807,50.1078029</t>
    </r>
  </si>
  <si>
    <t>CUS549</t>
  </si>
  <si>
    <t>تموينات زاد الناس</t>
  </si>
  <si>
    <t>ابو مشعل</t>
  </si>
  <si>
    <t>26.4093233, 50.1085979</t>
  </si>
  <si>
    <r>
      <rPr>
        <u/>
        <sz val="9"/>
        <color rgb="FF1155CC"/>
        <rFont val="Arial, sans-serif"/>
      </rPr>
      <t>https://maps.google.com/?q=26.4093233,50.1085979</t>
    </r>
  </si>
  <si>
    <t>CUS550</t>
  </si>
  <si>
    <t>سلة الشموخ</t>
  </si>
  <si>
    <t>26.4193096, 50.1112714</t>
  </si>
  <si>
    <r>
      <rPr>
        <u/>
        <sz val="9"/>
        <color rgb="FF1155CC"/>
        <rFont val="Arial, sans-serif"/>
      </rPr>
      <t>https://maps.google.com/?q=26.4193096,50.1112714</t>
    </r>
  </si>
  <si>
    <t>CUS551</t>
  </si>
  <si>
    <t>مؤسسة روانق الياسمين</t>
  </si>
  <si>
    <t>26.4220083, 50.111575</t>
  </si>
  <si>
    <r>
      <rPr>
        <u/>
        <sz val="9"/>
        <color rgb="FF1155CC"/>
        <rFont val="Arial, sans-serif"/>
      </rPr>
      <t>https://maps.google.com/?q=26.4220083,50.111575</t>
    </r>
  </si>
  <si>
    <t>CUS552</t>
  </si>
  <si>
    <t>مؤسسة نوادر السريعة</t>
  </si>
  <si>
    <t>26.42411, 50.10246</t>
  </si>
  <si>
    <r>
      <rPr>
        <u/>
        <sz val="9"/>
        <color rgb="FF1155CC"/>
        <rFont val="Arial, sans-serif"/>
      </rPr>
      <t>https://maps.google.com/?q=26.42411,50.10246</t>
    </r>
  </si>
  <si>
    <t>CUS553</t>
  </si>
  <si>
    <t>26.4207588, 50.1063724</t>
  </si>
  <si>
    <r>
      <rPr>
        <u/>
        <sz val="9"/>
        <color rgb="FF1155CC"/>
        <rFont val="Arial, sans-serif"/>
      </rPr>
      <t>https://maps.google.com/?q=26.4207588,50.1063724</t>
    </r>
  </si>
  <si>
    <t>CUS554</t>
  </si>
  <si>
    <t>تموينات منى مرضي بن نايل العنزي</t>
  </si>
  <si>
    <t>26.4209533, 50.1012717</t>
  </si>
  <si>
    <r>
      <rPr>
        <u/>
        <sz val="9"/>
        <color rgb="FF1155CC"/>
        <rFont val="Arial, sans-serif"/>
      </rPr>
      <t>https://maps.google.com/?q=26.4209533,50.1012717</t>
    </r>
  </si>
  <si>
    <t>CUS555</t>
  </si>
  <si>
    <t>تموينات عربة الضاحية</t>
  </si>
  <si>
    <t>26.42489, 50.09855</t>
  </si>
  <si>
    <r>
      <rPr>
        <u/>
        <sz val="9"/>
        <color rgb="FF1155CC"/>
        <rFont val="Arial, sans-serif"/>
      </rPr>
      <t>https://maps.google.com/?q=26.42489,50.09855</t>
    </r>
  </si>
  <si>
    <t>CUS556</t>
  </si>
  <si>
    <t>تموينات ضواحي التوفير</t>
  </si>
  <si>
    <t>26.4235088, 50.0966748</t>
  </si>
  <si>
    <r>
      <rPr>
        <u/>
        <sz val="9"/>
        <color rgb="FF1155CC"/>
        <rFont val="Arial, sans-serif"/>
      </rPr>
      <t>https://maps.google.com/?q=26.4235088,50.0966748</t>
    </r>
  </si>
  <si>
    <t>CUS557</t>
  </si>
  <si>
    <t>مؤسسة الركن اليومي</t>
  </si>
  <si>
    <t>26.423135, 50.0964867</t>
  </si>
  <si>
    <r>
      <rPr>
        <u/>
        <sz val="9"/>
        <color rgb="FF1155CC"/>
        <rFont val="Arial, sans-serif"/>
      </rPr>
      <t>https://maps.google.com/?q=26.423135,50.0964867</t>
    </r>
  </si>
  <si>
    <t>CUS558</t>
  </si>
  <si>
    <t>تموينات نجمة الدانه</t>
  </si>
  <si>
    <t>26.4230557, 50.0946328</t>
  </si>
  <si>
    <r>
      <rPr>
        <u/>
        <sz val="9"/>
        <color rgb="FF1155CC"/>
        <rFont val="Arial, sans-serif"/>
      </rPr>
      <t>https://maps.google.com/?q=26.4230557,50.0946328</t>
    </r>
  </si>
  <si>
    <t>CUS559</t>
  </si>
  <si>
    <t>مؤسسة موارد الهدى</t>
  </si>
  <si>
    <t>مروان اليافعي</t>
  </si>
  <si>
    <t>26.38279, 50.09809</t>
  </si>
  <si>
    <r>
      <rPr>
        <u/>
        <sz val="9"/>
        <color rgb="FF1155CC"/>
        <rFont val="Arial, sans-serif"/>
      </rPr>
      <t>https://maps.google.com/?q=26.38279,50.09809</t>
    </r>
  </si>
  <si>
    <t>CUS560</t>
  </si>
  <si>
    <t>تموينات بوابة العليا</t>
  </si>
  <si>
    <t>26.3817917, 50.0984767</t>
  </si>
  <si>
    <r>
      <rPr>
        <u/>
        <sz val="9"/>
        <color rgb="FF1155CC"/>
        <rFont val="Arial, sans-serif"/>
      </rPr>
      <t>https://maps.google.com/?q=26.3817917,50.0984767</t>
    </r>
  </si>
  <si>
    <t>CUS561</t>
  </si>
  <si>
    <t>مؤسسة العنود</t>
  </si>
  <si>
    <t>ابو تميم</t>
  </si>
  <si>
    <t>26.3769819, 50.1223157</t>
  </si>
  <si>
    <r>
      <rPr>
        <u/>
        <sz val="9"/>
        <color rgb="FF1155CC"/>
        <rFont val="Arial, sans-serif"/>
      </rPr>
      <t>https://maps.google.com/?q=26.3769819,50.1223157</t>
    </r>
  </si>
  <si>
    <t>CUS562</t>
  </si>
  <si>
    <t>زاد الاسرة</t>
  </si>
  <si>
    <t>26.3750581, 50.11515</t>
  </si>
  <si>
    <r>
      <rPr>
        <u/>
        <sz val="9"/>
        <color rgb="FF1155CC"/>
        <rFont val="Arial, sans-serif"/>
      </rPr>
      <t>https://maps.google.com/?q=26.3750581,50.11515</t>
    </r>
  </si>
  <si>
    <t>CUS563</t>
  </si>
  <si>
    <t>26.3747517, 50.11841</t>
  </si>
  <si>
    <r>
      <rPr>
        <u/>
        <sz val="9"/>
        <color rgb="FF1155CC"/>
        <rFont val="Arial, sans-serif"/>
      </rPr>
      <t>https://maps.google.com/?q=26.3747517,50.11841</t>
    </r>
  </si>
  <si>
    <t>CUS564</t>
  </si>
  <si>
    <t>مؤسسة مناهل المودة</t>
  </si>
  <si>
    <t>26.38037, 50.10353</t>
  </si>
  <si>
    <r>
      <rPr>
        <u/>
        <sz val="9"/>
        <color rgb="FF1155CC"/>
        <rFont val="Arial, sans-serif"/>
      </rPr>
      <t>https://maps.google.com/?q=26.38037,50.10353</t>
    </r>
  </si>
  <si>
    <t>CUS565</t>
  </si>
  <si>
    <t>اسواق شروق البيضاء</t>
  </si>
  <si>
    <t>26.3794517, 50.0999947</t>
  </si>
  <si>
    <r>
      <rPr>
        <u/>
        <sz val="9"/>
        <color rgb="FF1155CC"/>
        <rFont val="Arial, sans-serif"/>
      </rPr>
      <t>https://maps.google.com/?q=26.3794517,50.0999947</t>
    </r>
  </si>
  <si>
    <t>CUS566</t>
  </si>
  <si>
    <t>جوهرة هلا الاقتصادية</t>
  </si>
  <si>
    <t>جابر</t>
  </si>
  <si>
    <t>26.395645, 50.0880033</t>
  </si>
  <si>
    <r>
      <rPr>
        <u/>
        <sz val="9"/>
        <color rgb="FF1155CC"/>
        <rFont val="Arial, sans-serif"/>
      </rPr>
      <t>https://maps.google.com/?q=26.395645,50.0880033</t>
    </r>
  </si>
  <si>
    <t>CUS567</t>
  </si>
  <si>
    <t>تموينات قافلة الجود</t>
  </si>
  <si>
    <t>26.3941896, 50.0846585</t>
  </si>
  <si>
    <r>
      <rPr>
        <u/>
        <sz val="9"/>
        <color rgb="FF1155CC"/>
        <rFont val="Arial, sans-serif"/>
      </rPr>
      <t>https://maps.google.com/?q=26.3941896,50.0846585</t>
    </r>
  </si>
  <si>
    <t>CUS568</t>
  </si>
  <si>
    <t>مركز المانع</t>
  </si>
  <si>
    <t>26.3956136, 50.0874714</t>
  </si>
  <si>
    <r>
      <rPr>
        <u/>
        <sz val="9"/>
        <color rgb="FF1155CC"/>
        <rFont val="Arial, sans-serif"/>
      </rPr>
      <t>https://maps.google.com/?q=26.3956136,50.0874714</t>
    </r>
  </si>
  <si>
    <t>CUS569</t>
  </si>
  <si>
    <t>شركة اسواق خليج دلتا</t>
  </si>
  <si>
    <t>26.395854, 50.0891135</t>
  </si>
  <si>
    <r>
      <rPr>
        <u/>
        <sz val="9"/>
        <color rgb="FF1155CC"/>
        <rFont val="Arial, sans-serif"/>
      </rPr>
      <t>https://maps.google.com/?q=26.395854,50.0891135</t>
    </r>
  </si>
  <si>
    <t>CUS570</t>
  </si>
  <si>
    <t>اسواق اسس الاطلال المركزية</t>
  </si>
  <si>
    <t>26.3977082, 50.0834351</t>
  </si>
  <si>
    <r>
      <rPr>
        <u/>
        <sz val="9"/>
        <color rgb="FF1155CC"/>
        <rFont val="Arial, sans-serif"/>
      </rPr>
      <t>https://maps.google.com/?q=26.3977082,50.0834351</t>
    </r>
  </si>
  <si>
    <t>CUS571</t>
  </si>
  <si>
    <t>بقالة فاطمة المنار</t>
  </si>
  <si>
    <t>26.4025079, 50.0846081</t>
  </si>
  <si>
    <r>
      <rPr>
        <u/>
        <sz val="9"/>
        <color rgb="FF1155CC"/>
        <rFont val="Arial, sans-serif"/>
      </rPr>
      <t>https://maps.google.com/?q=26.4025079,50.0846081</t>
    </r>
  </si>
  <si>
    <t>CUS572</t>
  </si>
  <si>
    <t>بقالة رزق اليوم</t>
  </si>
  <si>
    <t>26.404905, 50.0836383</t>
  </si>
  <si>
    <r>
      <rPr>
        <u/>
        <sz val="9"/>
        <color rgb="FF1155CC"/>
        <rFont val="Arial, sans-serif"/>
      </rPr>
      <t>https://maps.google.com/?q=26.404905,50.0836383</t>
    </r>
  </si>
  <si>
    <t>CUS573</t>
  </si>
  <si>
    <t>تموينات زاد شروق الخير</t>
  </si>
  <si>
    <t>مدير</t>
  </si>
  <si>
    <t>26.4022183, 50.0808317</t>
  </si>
  <si>
    <r>
      <rPr>
        <u/>
        <sz val="9"/>
        <color rgb="FF1155CC"/>
        <rFont val="Arial, sans-serif"/>
      </rPr>
      <t>https://maps.google.com/?q=26.4022183,50.0808317</t>
    </r>
  </si>
  <si>
    <t>CUS574</t>
  </si>
  <si>
    <t>توفير أناء وغذاء</t>
  </si>
  <si>
    <t>26.4039433, 50.0740717</t>
  </si>
  <si>
    <r>
      <rPr>
        <u/>
        <sz val="9"/>
        <color rgb="FF1155CC"/>
        <rFont val="Arial, sans-serif"/>
      </rPr>
      <t>https://maps.google.com/?q=26.4039433,50.0740717</t>
    </r>
  </si>
  <si>
    <t>CUS575</t>
  </si>
  <si>
    <t>تموينات يا هلا</t>
  </si>
  <si>
    <t>26.4058002, 50.0732244</t>
  </si>
  <si>
    <r>
      <rPr>
        <u/>
        <sz val="9"/>
        <color rgb="FF1155CC"/>
        <rFont val="Arial, sans-serif"/>
      </rPr>
      <t>https://maps.google.com/?q=26.4058002,50.0732244</t>
    </r>
  </si>
  <si>
    <t>CUS576</t>
  </si>
  <si>
    <t>اسواق النرجس ستور المركزية</t>
  </si>
  <si>
    <t>26.4085471, 50.0715481</t>
  </si>
  <si>
    <r>
      <rPr>
        <u/>
        <sz val="9"/>
        <color rgb="FF1155CC"/>
        <rFont val="Arial, sans-serif"/>
      </rPr>
      <t>https://maps.google.com/?q=26.4085471,50.0715481</t>
    </r>
  </si>
  <si>
    <t>CUS577</t>
  </si>
  <si>
    <t>شعبيات الديار</t>
  </si>
  <si>
    <t>26.4086616, 50.0719408</t>
  </si>
  <si>
    <r>
      <rPr>
        <u/>
        <sz val="9"/>
        <color rgb="FF1155CC"/>
        <rFont val="Arial, sans-serif"/>
      </rPr>
      <t>https://maps.google.com/?q=26.4086616,50.0719408</t>
    </r>
  </si>
  <si>
    <t>CUS578</t>
  </si>
  <si>
    <t>سهم الهداء</t>
  </si>
  <si>
    <t>26.4108099, 50.0743632</t>
  </si>
  <si>
    <r>
      <rPr>
        <u/>
        <sz val="9"/>
        <color rgb="FF1155CC"/>
        <rFont val="Arial, sans-serif"/>
      </rPr>
      <t>https://maps.google.com/?q=26.4108099,50.0743632</t>
    </r>
  </si>
  <si>
    <t>CUS579</t>
  </si>
  <si>
    <t>تموينات بركة الانوار</t>
  </si>
  <si>
    <t>26.4091483, 50.0809383</t>
  </si>
  <si>
    <r>
      <rPr>
        <u/>
        <sz val="9"/>
        <color rgb="FF1155CC"/>
        <rFont val="Arial, sans-serif"/>
      </rPr>
      <t>https://maps.google.com/?q=26.4091483,50.0809383</t>
    </r>
  </si>
  <si>
    <t>CUS580</t>
  </si>
  <si>
    <t>بقالة سكة حلاوة</t>
  </si>
  <si>
    <t>وجي</t>
  </si>
  <si>
    <t>26.4119467, 50.0777967</t>
  </si>
  <si>
    <r>
      <rPr>
        <u/>
        <sz val="9"/>
        <color rgb="FF1155CC"/>
        <rFont val="Arial, sans-serif"/>
      </rPr>
      <t>https://maps.google.com/?q=26.4119467,50.0777967</t>
    </r>
  </si>
  <si>
    <t>CUS581</t>
  </si>
  <si>
    <t>تموينات الريان</t>
  </si>
  <si>
    <t>26.4124773, 50.078682</t>
  </si>
  <si>
    <r>
      <rPr>
        <u/>
        <sz val="9"/>
        <color rgb="FF1155CC"/>
        <rFont val="Arial, sans-serif"/>
      </rPr>
      <t>https://maps.google.com/?q=26.4124773,50.078682</t>
    </r>
  </si>
  <si>
    <t>CUS582</t>
  </si>
  <si>
    <t>تموينات جنائن الدرة</t>
  </si>
  <si>
    <t>26.418995, 50.0863833</t>
  </si>
  <si>
    <r>
      <rPr>
        <u/>
        <sz val="9"/>
        <color rgb="FF1155CC"/>
        <rFont val="Arial, sans-serif"/>
      </rPr>
      <t>https://maps.google.com/?q=26.418995,50.0863833</t>
    </r>
  </si>
  <si>
    <t>CUS583</t>
  </si>
  <si>
    <t>26.41588, 50.0799667</t>
  </si>
  <si>
    <r>
      <rPr>
        <u/>
        <sz val="9"/>
        <color rgb="FF1155CC"/>
        <rFont val="Arial, sans-serif"/>
      </rPr>
      <t>https://maps.google.com/?q=26.41588,50.0799667</t>
    </r>
  </si>
  <si>
    <t>CUS584</t>
  </si>
  <si>
    <t>تموينات امواج الجسر</t>
  </si>
  <si>
    <t>ابو سليم</t>
  </si>
  <si>
    <t>26.2151833, 50.2127183</t>
  </si>
  <si>
    <r>
      <rPr>
        <u/>
        <sz val="9"/>
        <color rgb="FF1155CC"/>
        <rFont val="Arial, sans-serif"/>
      </rPr>
      <t>https://maps.google.com/?q=26.2151833,50.2127183</t>
    </r>
  </si>
  <si>
    <t>CUS585</t>
  </si>
  <si>
    <t>تموينات ركني الشرقية</t>
  </si>
  <si>
    <t>26.2157883, 50.207735</t>
  </si>
  <si>
    <r>
      <rPr>
        <u/>
        <sz val="9"/>
        <color rgb="FF1155CC"/>
        <rFont val="Arial, sans-serif"/>
      </rPr>
      <t>https://maps.google.com/?q=26.2157883,50.207735</t>
    </r>
  </si>
  <si>
    <t>CUS586</t>
  </si>
  <si>
    <t>تموينات درة النقيب</t>
  </si>
  <si>
    <t>ابو نورة</t>
  </si>
  <si>
    <t>26.213558, 50.2078328</t>
  </si>
  <si>
    <r>
      <rPr>
        <u/>
        <sz val="9"/>
        <color rgb="FF1155CC"/>
        <rFont val="Arial, sans-serif"/>
      </rPr>
      <t>https://maps.google.com/?q=26.213558,50.2078328</t>
    </r>
  </si>
  <si>
    <t>CUS587</t>
  </si>
  <si>
    <t>تموينات اركان الجسر</t>
  </si>
  <si>
    <t>26.2116083, 50.2081633</t>
  </si>
  <si>
    <r>
      <rPr>
        <u/>
        <sz val="9"/>
        <color rgb="FF1155CC"/>
        <rFont val="Arial, sans-serif"/>
      </rPr>
      <t>https://maps.google.com/?q=26.2116083,50.2081633</t>
    </r>
  </si>
  <si>
    <t>CUS588</t>
  </si>
  <si>
    <t>مؤسسة جسر العائلة</t>
  </si>
  <si>
    <t>26.2084533, 50.20869</t>
  </si>
  <si>
    <r>
      <rPr>
        <u/>
        <sz val="9"/>
        <color rgb="FF1155CC"/>
        <rFont val="Arial, sans-serif"/>
      </rPr>
      <t>https://maps.google.com/?q=26.2084533,50.20869</t>
    </r>
  </si>
  <si>
    <t>CUS589</t>
  </si>
  <si>
    <t>مؤسسة جزيرة الطيور</t>
  </si>
  <si>
    <t>26.2103164, 50.2071097</t>
  </si>
  <si>
    <r>
      <rPr>
        <u/>
        <sz val="9"/>
        <color rgb="FF1155CC"/>
        <rFont val="Arial, sans-serif"/>
      </rPr>
      <t>https://maps.google.com/?q=26.2103164,50.2071097</t>
    </r>
  </si>
  <si>
    <t>CUS590</t>
  </si>
  <si>
    <t>تموينات كيان بلادي</t>
  </si>
  <si>
    <t>26.2156039, 50.2072148</t>
  </si>
  <si>
    <r>
      <rPr>
        <u/>
        <sz val="9"/>
        <color rgb="FF1155CC"/>
        <rFont val="Arial, sans-serif"/>
      </rPr>
      <t>https://maps.google.com/?q=26.2156039,50.2072148</t>
    </r>
  </si>
  <si>
    <t>CUS591</t>
  </si>
  <si>
    <t>تموينات رموز الجزيرة</t>
  </si>
  <si>
    <t>محمد الحميري</t>
  </si>
  <si>
    <t>26.2095002, 50.2007745</t>
  </si>
  <si>
    <r>
      <rPr>
        <u/>
        <sz val="9"/>
        <color rgb="FF1155CC"/>
        <rFont val="Arial, sans-serif"/>
      </rPr>
      <t>https://maps.google.com/?q=26.2095002,50.2007745</t>
    </r>
  </si>
  <si>
    <t>CUS592</t>
  </si>
  <si>
    <t>وسام الصلاحي</t>
  </si>
  <si>
    <t>26.201425, 50.2080333</t>
  </si>
  <si>
    <r>
      <rPr>
        <u/>
        <sz val="9"/>
        <color rgb="FF1155CC"/>
        <rFont val="Arial, sans-serif"/>
      </rPr>
      <t>https://maps.google.com/?q=26.201425,50.2080333</t>
    </r>
  </si>
  <si>
    <t>CUS593</t>
  </si>
  <si>
    <t>تقاطيع الساحل</t>
  </si>
  <si>
    <t>26.2008771, 50.2112324</t>
  </si>
  <si>
    <r>
      <rPr>
        <u/>
        <sz val="9"/>
        <color rgb="FF1155CC"/>
        <rFont val="Arial, sans-serif"/>
      </rPr>
      <t>https://maps.google.com/?q=26.2008771,50.2112324</t>
    </r>
  </si>
  <si>
    <t>CUS594</t>
  </si>
  <si>
    <t>شركة نجوم هلا</t>
  </si>
  <si>
    <t>26.2008983, 50.2030321</t>
  </si>
  <si>
    <r>
      <rPr>
        <u/>
        <sz val="9"/>
        <color rgb="FF1155CC"/>
        <rFont val="Arial, sans-serif"/>
      </rPr>
      <t>https://maps.google.com/?q=26.2008983,50.2030321</t>
    </r>
  </si>
  <si>
    <t>CUS595</t>
  </si>
  <si>
    <t>تموينات الزاوية المخفضة</t>
  </si>
  <si>
    <t>26.1965995, 50.2037393</t>
  </si>
  <si>
    <r>
      <rPr>
        <u/>
        <sz val="9"/>
        <color rgb="FF1155CC"/>
        <rFont val="Arial, sans-serif"/>
      </rPr>
      <t>https://maps.google.com/?q=26.1965995,50.2037393</t>
    </r>
  </si>
  <si>
    <t>CUS596</t>
  </si>
  <si>
    <t>اسواق ومخابز واجهة الحي</t>
  </si>
  <si>
    <t>ابو عبده</t>
  </si>
  <si>
    <t>26.1965971, 50.2036488</t>
  </si>
  <si>
    <r>
      <rPr>
        <u/>
        <sz val="9"/>
        <color rgb="FF1155CC"/>
        <rFont val="Arial, sans-serif"/>
      </rPr>
      <t>https://maps.google.com/?q=26.1965971,50.2036488</t>
    </r>
  </si>
  <si>
    <t>CUS597</t>
  </si>
  <si>
    <t>تموينات رباب الشوملي</t>
  </si>
  <si>
    <t>26.191375, 50.20026</t>
  </si>
  <si>
    <r>
      <rPr>
        <u/>
        <sz val="9"/>
        <color rgb="FF1155CC"/>
        <rFont val="Arial, sans-serif"/>
      </rPr>
      <t>https://maps.google.com/?q=26.191375,50.20026</t>
    </r>
  </si>
  <si>
    <t>CUS598</t>
  </si>
  <si>
    <t>سوبر ماركت الصيعري</t>
  </si>
  <si>
    <t>26.1891233, 50.1887133</t>
  </si>
  <si>
    <r>
      <rPr>
        <u/>
        <sz val="9"/>
        <color rgb="FF1155CC"/>
        <rFont val="Arial, sans-serif"/>
      </rPr>
      <t>https://maps.google.com/?q=26.1891233,50.1887133</t>
    </r>
  </si>
  <si>
    <t>CUS599</t>
  </si>
  <si>
    <t>تموينات ابو لولو</t>
  </si>
  <si>
    <t>26.1809181, 50.1835498</t>
  </si>
  <si>
    <r>
      <rPr>
        <u/>
        <sz val="9"/>
        <color rgb="FF1155CC"/>
        <rFont val="Arial, sans-serif"/>
      </rPr>
      <t>https://maps.google.com/?q=26.1809181,50.1835498</t>
    </r>
  </si>
  <si>
    <t>CUS600</t>
  </si>
  <si>
    <t>تموينات الدوسري</t>
  </si>
  <si>
    <t>ابو ضاء</t>
  </si>
  <si>
    <t>26.0933155, 50.1492426</t>
  </si>
  <si>
    <r>
      <rPr>
        <u/>
        <sz val="9"/>
        <color rgb="FF1155CC"/>
        <rFont val="Arial, sans-serif"/>
      </rPr>
      <t>https://maps.google.com/?q=26.0933155,50.1492426</t>
    </r>
  </si>
  <si>
    <t>CUS601</t>
  </si>
  <si>
    <t>اسواق بسمة الشرق</t>
  </si>
  <si>
    <t>26.10032, 50.1341633</t>
  </si>
  <si>
    <r>
      <rPr>
        <u/>
        <sz val="9"/>
        <color rgb="FF1155CC"/>
        <rFont val="Arial, sans-serif"/>
      </rPr>
      <t>https://maps.google.com/?q=26.10032,50.1341633</t>
    </r>
  </si>
  <si>
    <t>CUS602</t>
  </si>
  <si>
    <t>اسواق غروب العزيزية</t>
  </si>
  <si>
    <t>26.1236683, 50.1451983</t>
  </si>
  <si>
    <r>
      <rPr>
        <u/>
        <sz val="9"/>
        <color rgb="FF1155CC"/>
        <rFont val="Arial, sans-serif"/>
      </rPr>
      <t>https://maps.google.com/?q=26.1236683,50.1451983</t>
    </r>
  </si>
  <si>
    <t>CUS603</t>
  </si>
  <si>
    <t>أسواق الصيعري</t>
  </si>
  <si>
    <t>26.133885, 50.1577233</t>
  </si>
  <si>
    <r>
      <rPr>
        <u/>
        <sz val="9"/>
        <color rgb="FF1155CC"/>
        <rFont val="Arial, sans-serif"/>
      </rPr>
      <t>https://maps.google.com/?q=26.133885,50.1577233</t>
    </r>
  </si>
  <si>
    <t>CUS604</t>
  </si>
  <si>
    <t>26.1539917, 50.1409567</t>
  </si>
  <si>
    <r>
      <rPr>
        <u/>
        <sz val="9"/>
        <color rgb="FF1155CC"/>
        <rFont val="Arial, sans-serif"/>
      </rPr>
      <t>https://maps.google.com/?q=26.1539917,50.1409567</t>
    </r>
  </si>
  <si>
    <t>CUS605</t>
  </si>
  <si>
    <t>مؤسسة ركن وربه</t>
  </si>
  <si>
    <t>26.1544808, 50.1387017</t>
  </si>
  <si>
    <r>
      <rPr>
        <u/>
        <sz val="9"/>
        <color rgb="FF1155CC"/>
        <rFont val="Arial, sans-serif"/>
      </rPr>
      <t>https://maps.google.com/?q=26.1544808,50.1387017</t>
    </r>
  </si>
  <si>
    <t>CUS606</t>
  </si>
  <si>
    <t>تموينات فارس الكوثر</t>
  </si>
  <si>
    <t>26.1460917, 50.107995</t>
  </si>
  <si>
    <r>
      <rPr>
        <u/>
        <sz val="9"/>
        <color rgb="FF1155CC"/>
        <rFont val="Arial, sans-serif"/>
      </rPr>
      <t>https://maps.google.com/?q=26.1460917,50.107995</t>
    </r>
  </si>
  <si>
    <t>CUS607</t>
  </si>
  <si>
    <t>تموينات الربان</t>
  </si>
  <si>
    <t>وليد حاتم</t>
  </si>
  <si>
    <t>26.1586367, 50.11381</t>
  </si>
  <si>
    <r>
      <rPr>
        <u/>
        <sz val="9"/>
        <color rgb="FF1155CC"/>
        <rFont val="Arial, sans-serif"/>
      </rPr>
      <t>https://maps.google.com/?q=26.1586367,50.11381</t>
    </r>
  </si>
  <si>
    <t>CUS608</t>
  </si>
  <si>
    <t>سوبر ماركت ايل سفن</t>
  </si>
  <si>
    <t>منصور المليكي</t>
  </si>
  <si>
    <t>26.1749533, 50.1466967</t>
  </si>
  <si>
    <r>
      <rPr>
        <u/>
        <sz val="9"/>
        <color rgb="FF1155CC"/>
        <rFont val="Arial, sans-serif"/>
      </rPr>
      <t>https://maps.google.com/?q=26.1749533,50.1466967</t>
    </r>
  </si>
  <si>
    <t>CUS609</t>
  </si>
  <si>
    <t>بقالة مزايا النجوم</t>
  </si>
  <si>
    <t>طه</t>
  </si>
  <si>
    <t>26.173915, 50.1535683</t>
  </si>
  <si>
    <r>
      <rPr>
        <u/>
        <sz val="9"/>
        <color rgb="FF1155CC"/>
        <rFont val="Arial, sans-serif"/>
      </rPr>
      <t>https://maps.google.com/?q=26.173915,50.1535683</t>
    </r>
  </si>
  <si>
    <t>CUS610</t>
  </si>
  <si>
    <t>اسواق شجرة الدر المركزية</t>
  </si>
  <si>
    <t>26.17464, 50.1489267</t>
  </si>
  <si>
    <r>
      <rPr>
        <u/>
        <sz val="9"/>
        <color rgb="FF1155CC"/>
        <rFont val="Arial, sans-serif"/>
      </rPr>
      <t>https://maps.google.com/?q=26.17464,50.1489267</t>
    </r>
  </si>
  <si>
    <t>CUS611</t>
  </si>
  <si>
    <t>تموينات سلة أمواج الخير</t>
  </si>
  <si>
    <t>26.1745333, 50.1477985</t>
  </si>
  <si>
    <r>
      <rPr>
        <u/>
        <sz val="9"/>
        <color rgb="FF1155CC"/>
        <rFont val="Arial, sans-serif"/>
      </rPr>
      <t>https://maps.google.com/?q=26.1745333,50.1477985</t>
    </r>
  </si>
  <si>
    <t>CUS612</t>
  </si>
  <si>
    <t>كيان العزيزية</t>
  </si>
  <si>
    <t>26.17513, 50.1455133</t>
  </si>
  <si>
    <r>
      <rPr>
        <u/>
        <sz val="9"/>
        <color rgb="FF1155CC"/>
        <rFont val="Arial, sans-serif"/>
      </rPr>
      <t>https://maps.google.com/?q=26.17513,50.1455133</t>
    </r>
  </si>
  <si>
    <t>CUS613</t>
  </si>
  <si>
    <t>تموينات الغزواني</t>
  </si>
  <si>
    <t>26.176315, 50.1378383</t>
  </si>
  <si>
    <r>
      <rPr>
        <u/>
        <sz val="9"/>
        <color rgb="FF1155CC"/>
        <rFont val="Arial, sans-serif"/>
      </rPr>
      <t>https://maps.google.com/?q=26.176315,50.1378383</t>
    </r>
  </si>
  <si>
    <t>CUS614</t>
  </si>
  <si>
    <t>مقاضي فيروز</t>
  </si>
  <si>
    <t>نايف</t>
  </si>
  <si>
    <t>26.1733367, 50.1362483</t>
  </si>
  <si>
    <r>
      <rPr>
        <u/>
        <sz val="9"/>
        <color rgb="FF1155CC"/>
        <rFont val="Arial, sans-serif"/>
      </rPr>
      <t>https://maps.google.com/?q=26.1733367,50.1362483</t>
    </r>
  </si>
  <si>
    <t>CUS615</t>
  </si>
  <si>
    <t>26.1677017, 50.1172533</t>
  </si>
  <si>
    <r>
      <rPr>
        <u/>
        <sz val="9"/>
        <color rgb="FF1155CC"/>
        <rFont val="Arial, sans-serif"/>
      </rPr>
      <t>https://maps.google.com/?q=26.1677017,50.1172533</t>
    </r>
  </si>
  <si>
    <t>CUS616</t>
  </si>
  <si>
    <t>سوبر ماركت النرجس</t>
  </si>
  <si>
    <t>26.1586517, 50.1190517</t>
  </si>
  <si>
    <r>
      <rPr>
        <u/>
        <sz val="9"/>
        <color rgb="FF1155CC"/>
        <rFont val="Arial, sans-serif"/>
      </rPr>
      <t>https://maps.google.com/?q=26.1586517,50.1190517</t>
    </r>
  </si>
  <si>
    <t>CUS617</t>
  </si>
  <si>
    <t>بقاله الجامد</t>
  </si>
  <si>
    <t>26.1564133, 50.133855</t>
  </si>
  <si>
    <r>
      <rPr>
        <u/>
        <sz val="9"/>
        <color rgb="FF1155CC"/>
        <rFont val="Arial, sans-serif"/>
      </rPr>
      <t>https://maps.google.com/?q=26.1564133,50.133855</t>
    </r>
  </si>
  <si>
    <t>CUS618</t>
  </si>
  <si>
    <t>بقشة العائلة</t>
  </si>
  <si>
    <t>26.1554496, 50.1394911</t>
  </si>
  <si>
    <r>
      <rPr>
        <u/>
        <sz val="9"/>
        <color rgb="FF1155CC"/>
        <rFont val="Arial, sans-serif"/>
      </rPr>
      <t>https://maps.google.com/?q=26.1554496,50.1394911</t>
    </r>
  </si>
  <si>
    <t>CUS619</t>
  </si>
  <si>
    <t>اسواق ومخابز الصيعري</t>
  </si>
  <si>
    <t>26.1535584, 50.1503031</t>
  </si>
  <si>
    <r>
      <rPr>
        <u/>
        <sz val="9"/>
        <color rgb="FF1155CC"/>
        <rFont val="Arial, sans-serif"/>
      </rPr>
      <t>https://maps.google.com/?q=26.1535584,50.1503031</t>
    </r>
  </si>
  <si>
    <t>CUS620</t>
  </si>
  <si>
    <t>تموينات حي الشراع</t>
  </si>
  <si>
    <t>26.1527, 50.1561067</t>
  </si>
  <si>
    <r>
      <rPr>
        <u/>
        <sz val="9"/>
        <color rgb="FF1155CC"/>
        <rFont val="Arial, sans-serif"/>
      </rPr>
      <t>https://maps.google.com/?q=26.1527,50.1561067</t>
    </r>
  </si>
  <si>
    <t>CUS621</t>
  </si>
  <si>
    <t>اسواق نجوم هلا</t>
  </si>
  <si>
    <t>علي احمد</t>
  </si>
  <si>
    <t>26.1569517, 50.1611483</t>
  </si>
  <si>
    <r>
      <rPr>
        <u/>
        <sz val="9"/>
        <color rgb="FF1155CC"/>
        <rFont val="Arial, sans-serif"/>
      </rPr>
      <t>https://maps.google.com/?q=26.1569517,50.1611483</t>
    </r>
  </si>
  <si>
    <t>CUS622</t>
  </si>
  <si>
    <t>غالب</t>
  </si>
  <si>
    <t>26.171227, 50.1620377</t>
  </si>
  <si>
    <r>
      <rPr>
        <u/>
        <sz val="9"/>
        <color rgb="FF1155CC"/>
        <rFont val="Arial, sans-serif"/>
      </rPr>
      <t>https://maps.google.com/?q=26.171227,50.1620377</t>
    </r>
  </si>
  <si>
    <t>CUS623</t>
  </si>
  <si>
    <t>26.1723133, 50.1620033</t>
  </si>
  <si>
    <r>
      <rPr>
        <u/>
        <sz val="9"/>
        <color rgb="FF1155CC"/>
        <rFont val="Arial, sans-serif"/>
      </rPr>
      <t>https://maps.google.com/?q=26.1723133,50.1620033</t>
    </r>
  </si>
  <si>
    <t>CUS624</t>
  </si>
  <si>
    <t>تموينات سلال البيان</t>
  </si>
  <si>
    <t>عبداللعزيز</t>
  </si>
  <si>
    <t>26.1929217, 50.1398467</t>
  </si>
  <si>
    <r>
      <rPr>
        <u/>
        <sz val="9"/>
        <color rgb="FF1155CC"/>
        <rFont val="Arial, sans-serif"/>
      </rPr>
      <t>https://maps.google.com/?q=26.1929217,50.1398467</t>
    </r>
  </si>
  <si>
    <t>CUS625</t>
  </si>
  <si>
    <t>تموينات إشراقة البيان</t>
  </si>
  <si>
    <t>26.1761517, 50.1431333</t>
  </si>
  <si>
    <r>
      <rPr>
        <u/>
        <sz val="9"/>
        <color rgb="FF1155CC"/>
        <rFont val="Arial, sans-serif"/>
      </rPr>
      <t>https://maps.google.com/?q=26.1761517,50.1431333</t>
    </r>
  </si>
  <si>
    <t>CUS626</t>
  </si>
  <si>
    <t>26.1760404, 50.1436689</t>
  </si>
  <si>
    <r>
      <rPr>
        <u/>
        <sz val="9"/>
        <color rgb="FF1155CC"/>
        <rFont val="Arial, sans-serif"/>
      </rPr>
      <t>https://maps.google.com/?q=26.1760404,50.1436689</t>
    </r>
  </si>
  <si>
    <t>CUS627</t>
  </si>
  <si>
    <t>26.1751517, 50.157355</t>
  </si>
  <si>
    <r>
      <rPr>
        <u/>
        <sz val="9"/>
        <color rgb="FF1155CC"/>
        <rFont val="Arial, sans-serif"/>
      </rPr>
      <t>https://maps.google.com/?q=26.1751517,50.157355</t>
    </r>
  </si>
  <si>
    <t>CUS628</t>
  </si>
  <si>
    <t>تموينات المدخل</t>
  </si>
  <si>
    <t>26.1741288, 50.157395</t>
  </si>
  <si>
    <r>
      <rPr>
        <u/>
        <sz val="9"/>
        <color rgb="FF1155CC"/>
        <rFont val="Arial, sans-serif"/>
      </rPr>
      <t>https://maps.google.com/?q=26.1741288,50.157395</t>
    </r>
  </si>
  <si>
    <t>CUS629</t>
  </si>
  <si>
    <t>اسواق ومخابز سماء العزيزية</t>
  </si>
  <si>
    <t>ابو عبدالعزيز</t>
  </si>
  <si>
    <t>26.1736232, 50.159325</t>
  </si>
  <si>
    <r>
      <rPr>
        <u/>
        <sz val="9"/>
        <color rgb="FF1155CC"/>
        <rFont val="Arial, sans-serif"/>
      </rPr>
      <t>https://maps.google.com/?q=26.1736232,50.159325</t>
    </r>
  </si>
  <si>
    <t>CUS630</t>
  </si>
  <si>
    <t>جوول ماركت</t>
  </si>
  <si>
    <t>26.1735541, 50.1622887</t>
  </si>
  <si>
    <r>
      <rPr>
        <u/>
        <sz val="9"/>
        <color rgb="FF1155CC"/>
        <rFont val="Arial, sans-serif"/>
      </rPr>
      <t>https://maps.google.com/?q=26.1735541,50.1622887</t>
    </r>
  </si>
  <si>
    <t>CUS631</t>
  </si>
  <si>
    <t>أسواق محيط الاقتصادية</t>
  </si>
  <si>
    <t>26.1865874, 50.1600818</t>
  </si>
  <si>
    <r>
      <rPr>
        <u/>
        <sz val="9"/>
        <color rgb="FF1155CC"/>
        <rFont val="Arial, sans-serif"/>
      </rPr>
      <t>https://maps.google.com/?q=26.1865874,50.1600818</t>
    </r>
  </si>
  <si>
    <t>CUS632</t>
  </si>
  <si>
    <t>26.1908288, 50.1593633</t>
  </si>
  <si>
    <r>
      <rPr>
        <u/>
        <sz val="9"/>
        <color rgb="FF1155CC"/>
        <rFont val="Arial, sans-serif"/>
      </rPr>
      <t>https://maps.google.com/?q=26.1908288,50.1593633</t>
    </r>
  </si>
  <si>
    <t>CUS633</t>
  </si>
  <si>
    <t>تموينات درر الشرقية</t>
  </si>
  <si>
    <t>26.1934, 50.160295</t>
  </si>
  <si>
    <r>
      <rPr>
        <u/>
        <sz val="9"/>
        <color rgb="FF1155CC"/>
        <rFont val="Arial, sans-serif"/>
      </rPr>
      <t>https://maps.google.com/?q=26.1934,50.160295</t>
    </r>
  </si>
  <si>
    <t>CUS634</t>
  </si>
  <si>
    <t>أسواق البدور جاردن المركزيه</t>
  </si>
  <si>
    <t>ابو الحسن</t>
  </si>
  <si>
    <t>26.189745, 50.1631967</t>
  </si>
  <si>
    <r>
      <rPr>
        <u/>
        <sz val="9"/>
        <color rgb="FF1155CC"/>
        <rFont val="Arial, sans-serif"/>
      </rPr>
      <t>https://maps.google.com/?q=26.189745,50.1631967</t>
    </r>
  </si>
  <si>
    <t>CUS635</t>
  </si>
  <si>
    <t>تموينات يميس</t>
  </si>
  <si>
    <t>ابو علاء</t>
  </si>
  <si>
    <t>26.1929367, 50.1641533</t>
  </si>
  <si>
    <r>
      <rPr>
        <u/>
        <sz val="9"/>
        <color rgb="FF1155CC"/>
        <rFont val="Arial, sans-serif"/>
      </rPr>
      <t>https://maps.google.com/?q=26.1929367,50.1641533</t>
    </r>
  </si>
  <si>
    <t>CUS636</t>
  </si>
  <si>
    <t>شركة اسواق الصيعري</t>
  </si>
  <si>
    <t>26.1855907, 50.1845806</t>
  </si>
  <si>
    <r>
      <rPr>
        <u/>
        <sz val="9"/>
        <color rgb="FF1155CC"/>
        <rFont val="Arial, sans-serif"/>
      </rPr>
      <t>https://maps.google.com/?q=26.1855907,50.1845806</t>
    </r>
  </si>
  <si>
    <t>CUS637</t>
  </si>
  <si>
    <t>تموينات لذيذ البحيرة</t>
  </si>
  <si>
    <t>26.1877583, 50.1822333</t>
  </si>
  <si>
    <r>
      <rPr>
        <u/>
        <sz val="9"/>
        <color rgb="FF1155CC"/>
        <rFont val="Arial, sans-serif"/>
      </rPr>
      <t>https://maps.google.com/?q=26.1877583,50.1822333</t>
    </r>
  </si>
  <si>
    <t>CUS638</t>
  </si>
  <si>
    <t>اسواق ومخابز شاطي العزيزية</t>
  </si>
  <si>
    <t>26.1915333, 50.1769633</t>
  </si>
  <si>
    <r>
      <rPr>
        <u/>
        <sz val="9"/>
        <color rgb="FF1155CC"/>
        <rFont val="Arial, sans-serif"/>
      </rPr>
      <t>https://maps.google.com/?q=26.1915333,50.1769633</t>
    </r>
  </si>
  <si>
    <t>CUS639</t>
  </si>
  <si>
    <t>اسواق ومخابز شركة مسلم الصيعري</t>
  </si>
  <si>
    <t>26.1993083, 50.184945</t>
  </si>
  <si>
    <r>
      <rPr>
        <u/>
        <sz val="9"/>
        <color rgb="FF1155CC"/>
        <rFont val="Arial, sans-serif"/>
      </rPr>
      <t>https://maps.google.com/?q=26.1993083,50.184945</t>
    </r>
  </si>
  <si>
    <t>CUS640</t>
  </si>
  <si>
    <t>أسواق ومخابز نخلة الدوحة</t>
  </si>
  <si>
    <t>26.1931783, 50.1893617</t>
  </si>
  <si>
    <r>
      <rPr>
        <u/>
        <sz val="9"/>
        <color rgb="FF1155CC"/>
        <rFont val="Arial, sans-serif"/>
      </rPr>
      <t>https://maps.google.com/?q=26.1931783,50.1893617</t>
    </r>
  </si>
  <si>
    <t>CUS641</t>
  </si>
  <si>
    <t>تموينات الربيع الذهبي</t>
  </si>
  <si>
    <t>محمد الخولاني</t>
  </si>
  <si>
    <t>26.2114483, 50.1892267</t>
  </si>
  <si>
    <r>
      <rPr>
        <u/>
        <sz val="9"/>
        <color rgb="FF1155CC"/>
        <rFont val="Arial, sans-serif"/>
      </rPr>
      <t>https://maps.google.com/?q=26.2114483,50.1892267</t>
    </r>
  </si>
  <si>
    <t>CUS642</t>
  </si>
  <si>
    <t>بقالة حليمة حسن خاتم</t>
  </si>
  <si>
    <t>26.210525, 50.1892567</t>
  </si>
  <si>
    <r>
      <rPr>
        <u/>
        <sz val="9"/>
        <color rgb="FF1155CC"/>
        <rFont val="Arial, sans-serif"/>
      </rPr>
      <t>https://maps.google.com/?q=26.210525,50.1892567</t>
    </r>
  </si>
  <si>
    <t>CUS643</t>
  </si>
  <si>
    <t>تموينات الجزيرة الرئعة</t>
  </si>
  <si>
    <t>علي الذماري</t>
  </si>
  <si>
    <t>26.20858, 50.18967</t>
  </si>
  <si>
    <r>
      <rPr>
        <u/>
        <sz val="9"/>
        <color rgb="FF1155CC"/>
        <rFont val="Arial, sans-serif"/>
      </rPr>
      <t>https://maps.google.com/?q=26.20858,50.18967</t>
    </r>
  </si>
  <si>
    <t>CUS644</t>
  </si>
  <si>
    <t>تموينات رحلات الخزامي</t>
  </si>
  <si>
    <t>26.2030767, 50.189015</t>
  </si>
  <si>
    <r>
      <rPr>
        <u/>
        <sz val="9"/>
        <color rgb="FF1155CC"/>
        <rFont val="Arial, sans-serif"/>
      </rPr>
      <t>https://maps.google.com/?q=26.2030767,50.189015</t>
    </r>
  </si>
  <si>
    <t>CUS645</t>
  </si>
  <si>
    <t>ابو حسين</t>
  </si>
  <si>
    <t>26.2019851, 50.1893964</t>
  </si>
  <si>
    <r>
      <rPr>
        <u/>
        <sz val="9"/>
        <color rgb="FF1155CC"/>
        <rFont val="Arial, sans-serif"/>
      </rPr>
      <t>https://maps.google.com/?q=26.2019851,50.1893964</t>
    </r>
  </si>
  <si>
    <t>CUS646</t>
  </si>
  <si>
    <t>مؤسسة محمد سلمان ابو سيف</t>
  </si>
  <si>
    <t>26.2086083, 50.1873183</t>
  </si>
  <si>
    <r>
      <rPr>
        <u/>
        <sz val="9"/>
        <color rgb="FF1155CC"/>
        <rFont val="Arial, sans-serif"/>
      </rPr>
      <t>https://maps.google.com/?q=26.2086083,50.1873183</t>
    </r>
  </si>
  <si>
    <t>CUS647</t>
  </si>
  <si>
    <t>26.208975, 50.18395</t>
  </si>
  <si>
    <r>
      <rPr>
        <u/>
        <sz val="9"/>
        <color rgb="FF1155CC"/>
        <rFont val="Arial, sans-serif"/>
      </rPr>
      <t>https://maps.google.com/?q=26.208975,50.18395</t>
    </r>
  </si>
  <si>
    <t>CUS648</t>
  </si>
  <si>
    <t>تموينات سنابل رزق</t>
  </si>
  <si>
    <t>26.20918, 50.188855</t>
  </si>
  <si>
    <r>
      <rPr>
        <u/>
        <sz val="9"/>
        <color rgb="FF1155CC"/>
        <rFont val="Arial, sans-serif"/>
      </rPr>
      <t>https://maps.google.com/?q=26.20918,50.188855</t>
    </r>
  </si>
  <si>
    <t>CUS649</t>
  </si>
  <si>
    <t>بقالة حزوة</t>
  </si>
  <si>
    <t>26.2121033, 50.1889533</t>
  </si>
  <si>
    <r>
      <rPr>
        <u/>
        <sz val="9"/>
        <color rgb="FF1155CC"/>
        <rFont val="Arial, sans-serif"/>
      </rPr>
      <t>https://maps.google.com/?q=26.2121033,50.1889533</t>
    </r>
  </si>
  <si>
    <t>CUS650</t>
  </si>
  <si>
    <t>ايفان ماركت</t>
  </si>
  <si>
    <t>26.2157183, 50.1796317</t>
  </si>
  <si>
    <r>
      <rPr>
        <u/>
        <sz val="9"/>
        <color rgb="FF1155CC"/>
        <rFont val="Arial, sans-serif"/>
      </rPr>
      <t>https://maps.google.com/?q=26.2157183,50.1796317</t>
    </r>
  </si>
  <si>
    <t>CUS651</t>
  </si>
  <si>
    <t>26.2171317, 50.1845517</t>
  </si>
  <si>
    <r>
      <rPr>
        <u/>
        <sz val="9"/>
        <color rgb="FF1155CC"/>
        <rFont val="Arial, sans-serif"/>
      </rPr>
      <t>https://maps.google.com/?q=26.2171317,50.1845517</t>
    </r>
  </si>
  <si>
    <t>CUS652</t>
  </si>
  <si>
    <t>بقالة حياة حمد هاشيل</t>
  </si>
  <si>
    <t>26.2314607, 50.1966774</t>
  </si>
  <si>
    <r>
      <rPr>
        <u/>
        <sz val="9"/>
        <color rgb="FF1155CC"/>
        <rFont val="Arial, sans-serif"/>
      </rPr>
      <t>https://maps.google.com/?q=26.2314607,50.1966774</t>
    </r>
  </si>
  <si>
    <t>CUS653</t>
  </si>
  <si>
    <t>26.2302567, 50.1957817</t>
  </si>
  <si>
    <r>
      <rPr>
        <u/>
        <sz val="9"/>
        <color rgb="FF1155CC"/>
        <rFont val="Arial, sans-serif"/>
      </rPr>
      <t>https://maps.google.com/?q=26.2302567,50.1957817</t>
    </r>
  </si>
  <si>
    <t>CUS654</t>
  </si>
  <si>
    <t>شركة ديما ماركت</t>
  </si>
  <si>
    <t>26.2240233, 50.1962967</t>
  </si>
  <si>
    <r>
      <rPr>
        <u/>
        <sz val="9"/>
        <color rgb="FF1155CC"/>
        <rFont val="Arial, sans-serif"/>
      </rPr>
      <t>https://maps.google.com/?q=26.2240233,50.1962967</t>
    </r>
  </si>
  <si>
    <t>CUS655</t>
  </si>
  <si>
    <t>كيان</t>
  </si>
  <si>
    <t>26.2189793, 50.2029042</t>
  </si>
  <si>
    <r>
      <rPr>
        <u/>
        <sz val="9"/>
        <color rgb="FF1155CC"/>
        <rFont val="Arial, sans-serif"/>
      </rPr>
      <t>https://maps.google.com/?q=26.2189793,50.2029042</t>
    </r>
  </si>
  <si>
    <t>CUS656</t>
  </si>
  <si>
    <t>26.2197819, 50.2098432</t>
  </si>
  <si>
    <r>
      <rPr>
        <u/>
        <sz val="9"/>
        <color rgb="FF1155CC"/>
        <rFont val="Arial, sans-serif"/>
      </rPr>
      <t>https://maps.google.com/?q=26.2197819,50.2098432</t>
    </r>
  </si>
  <si>
    <t>CUS657</t>
  </si>
  <si>
    <t>26.22015, 50.2125</t>
  </si>
  <si>
    <r>
      <rPr>
        <u/>
        <sz val="9"/>
        <color rgb="FF1155CC"/>
        <rFont val="Arial, sans-serif"/>
      </rPr>
      <t>https://maps.google.com/?q=26.22015,50.2125</t>
    </r>
  </si>
  <si>
    <t>CUS658</t>
  </si>
  <si>
    <t>اسواق ومخابز ريما ماركت</t>
  </si>
  <si>
    <t>26.2350795, 50.2132507</t>
  </si>
  <si>
    <r>
      <rPr>
        <u/>
        <sz val="9"/>
        <color rgb="FF1155CC"/>
        <rFont val="Arial, sans-serif"/>
      </rPr>
      <t>https://maps.google.com/?q=26.2350795,50.2132507</t>
    </r>
  </si>
  <si>
    <t>CUS659</t>
  </si>
  <si>
    <t>26.254065, 50.2146617</t>
  </si>
  <si>
    <r>
      <rPr>
        <u/>
        <sz val="9"/>
        <color rgb="FF1155CC"/>
        <rFont val="Arial, sans-serif"/>
      </rPr>
      <t>https://maps.google.com/?q=26.254065,50.2146617</t>
    </r>
  </si>
  <si>
    <t>CUS660</t>
  </si>
  <si>
    <t>تموينات سلال الثلاثين</t>
  </si>
  <si>
    <t>الخبر</t>
  </si>
  <si>
    <t>26.2646067, 50.2080633</t>
  </si>
  <si>
    <r>
      <rPr>
        <u/>
        <sz val="9"/>
        <color rgb="FF1155CC"/>
        <rFont val="Arial, sans-serif"/>
      </rPr>
      <t>https://maps.google.com/?q=26.2646067,50.2080633</t>
    </r>
  </si>
  <si>
    <t>CUS661</t>
  </si>
  <si>
    <t>كرز العرب</t>
  </si>
  <si>
    <t>26.2708536, 50.2072687</t>
  </si>
  <si>
    <r>
      <rPr>
        <u/>
        <sz val="9"/>
        <color rgb="FF1155CC"/>
        <rFont val="Arial, sans-serif"/>
      </rPr>
      <t>https://maps.google.com/?q=26.2708536,50.2072687</t>
    </r>
  </si>
  <si>
    <t>CUS662</t>
  </si>
  <si>
    <t>تموينات درر الثلاثين</t>
  </si>
  <si>
    <t>بسام</t>
  </si>
  <si>
    <t>26.2658761, 50.2115955</t>
  </si>
  <si>
    <r>
      <rPr>
        <u/>
        <sz val="9"/>
        <color rgb="FF1155CC"/>
        <rFont val="Arial, sans-serif"/>
      </rPr>
      <t>https://maps.google.com/?q=26.2658761,50.2115955</t>
    </r>
  </si>
  <si>
    <t>CUS663</t>
  </si>
  <si>
    <t>تموينات تفاحتين</t>
  </si>
  <si>
    <t>26.2744525, 50.2111289</t>
  </si>
  <si>
    <r>
      <rPr>
        <u/>
        <sz val="9"/>
        <color rgb="FF1155CC"/>
        <rFont val="Arial, sans-serif"/>
      </rPr>
      <t>https://maps.google.com/?q=26.2744525,50.2111289</t>
    </r>
  </si>
  <si>
    <t>CUS664</t>
  </si>
  <si>
    <t>بقالة قارات الخليج</t>
  </si>
  <si>
    <t>محي الدين</t>
  </si>
  <si>
    <t>26.2790123, 50.2022755</t>
  </si>
  <si>
    <r>
      <rPr>
        <u/>
        <sz val="9"/>
        <color rgb="FF1155CC"/>
        <rFont val="Arial, sans-serif"/>
      </rPr>
      <t>https://maps.google.com/?q=26.2790123,50.2022755</t>
    </r>
  </si>
  <si>
    <t>CUS665</t>
  </si>
  <si>
    <t>رعوم</t>
  </si>
  <si>
    <t>26.28364, 50.1851483</t>
  </si>
  <si>
    <r>
      <rPr>
        <u/>
        <sz val="9"/>
        <color rgb="FF1155CC"/>
        <rFont val="Arial, sans-serif"/>
      </rPr>
      <t>https://maps.google.com/?q=26.28364,50.1851483</t>
    </r>
  </si>
  <si>
    <t>CUS666</t>
  </si>
  <si>
    <t>تموينات مدى</t>
  </si>
  <si>
    <t>26.2844317, 50.184625</t>
  </si>
  <si>
    <r>
      <rPr>
        <u/>
        <sz val="9"/>
        <color rgb="FF1155CC"/>
        <rFont val="Arial, sans-serif"/>
      </rPr>
      <t>https://maps.google.com/?q=26.2844317,50.184625</t>
    </r>
  </si>
  <si>
    <t>CUS667</t>
  </si>
  <si>
    <t>26.3046733, 50.177515</t>
  </si>
  <si>
    <r>
      <rPr>
        <u/>
        <sz val="9"/>
        <color rgb="FF1155CC"/>
        <rFont val="Arial, sans-serif"/>
      </rPr>
      <t>https://maps.google.com/?q=26.3046733,50.177515</t>
    </r>
  </si>
  <si>
    <t>CUS668</t>
  </si>
  <si>
    <t>تموينات ثري الخير</t>
  </si>
  <si>
    <t>26.3034167, 50.17557</t>
  </si>
  <si>
    <r>
      <rPr>
        <u/>
        <sz val="9"/>
        <color rgb="FF1155CC"/>
        <rFont val="Arial, sans-serif"/>
      </rPr>
      <t>https://maps.google.com/?q=26.3034167,50.17557</t>
    </r>
  </si>
  <si>
    <t>CUS669</t>
  </si>
  <si>
    <t>26.30348, 50.1735533</t>
  </si>
  <si>
    <r>
      <rPr>
        <u/>
        <sz val="9"/>
        <color rgb="FF1155CC"/>
        <rFont val="Arial, sans-serif"/>
      </rPr>
      <t>https://maps.google.com/?q=26.30348,50.1735533</t>
    </r>
  </si>
  <si>
    <t>CUS670</t>
  </si>
  <si>
    <t>26.2947, 50.1784383</t>
  </si>
  <si>
    <r>
      <rPr>
        <u/>
        <sz val="9"/>
        <color rgb="FF1155CC"/>
        <rFont val="Arial, sans-serif"/>
      </rPr>
      <t>https://maps.google.com/?q=26.2947,50.1784383</t>
    </r>
  </si>
  <si>
    <t>CUS671</t>
  </si>
  <si>
    <t>واحة ماركت</t>
  </si>
  <si>
    <t>26.3003453, 50.1732504</t>
  </si>
  <si>
    <r>
      <rPr>
        <u/>
        <sz val="9"/>
        <color rgb="FF1155CC"/>
        <rFont val="Arial, sans-serif"/>
      </rPr>
      <t>https://maps.google.com/?q=26.3003453,50.1732504</t>
    </r>
  </si>
  <si>
    <t>CUS672</t>
  </si>
  <si>
    <t>26.2979417, 50.1783183</t>
  </si>
  <si>
    <r>
      <rPr>
        <u/>
        <sz val="9"/>
        <color rgb="FF1155CC"/>
        <rFont val="Arial, sans-serif"/>
      </rPr>
      <t>https://maps.google.com/?q=26.2979417,50.1783183</t>
    </r>
  </si>
  <si>
    <t>CUS673</t>
  </si>
  <si>
    <t>تموينات وادي بسمي</t>
  </si>
  <si>
    <t>26.2919483, 50.186275</t>
  </si>
  <si>
    <r>
      <rPr>
        <u/>
        <sz val="9"/>
        <color rgb="FF1155CC"/>
        <rFont val="Arial, sans-serif"/>
      </rPr>
      <t>https://maps.google.com/?q=26.2919483,50.186275</t>
    </r>
  </si>
  <si>
    <t>CUS674</t>
  </si>
  <si>
    <t>26.2932417, 50.1836967</t>
  </si>
  <si>
    <r>
      <rPr>
        <u/>
        <sz val="9"/>
        <color rgb="FF1155CC"/>
        <rFont val="Arial, sans-serif"/>
      </rPr>
      <t>https://maps.google.com/?q=26.2932417,50.1836967</t>
    </r>
  </si>
  <si>
    <t>CUS675</t>
  </si>
  <si>
    <t>تموينات ايوان الشرق</t>
  </si>
  <si>
    <t>حي العقربيه</t>
  </si>
  <si>
    <t>26.2935083, 50.1831233</t>
  </si>
  <si>
    <r>
      <rPr>
        <u/>
        <sz val="9"/>
        <color rgb="FF1155CC"/>
        <rFont val="Arial, sans-serif"/>
      </rPr>
      <t>https://maps.google.com/?q=26.2935083,50.1831233</t>
    </r>
  </si>
  <si>
    <t>CUS676</t>
  </si>
  <si>
    <t>26.2882633, 50.18557</t>
  </si>
  <si>
    <r>
      <rPr>
        <u/>
        <sz val="9"/>
        <color rgb="FF1155CC"/>
        <rFont val="Arial, sans-serif"/>
      </rPr>
      <t>https://maps.google.com/?q=26.2882633,50.18557</t>
    </r>
  </si>
  <si>
    <t>CUS677</t>
  </si>
  <si>
    <t>تموينات ومخابز فالكم طيب</t>
  </si>
  <si>
    <t>26.288335, 50.19881</t>
  </si>
  <si>
    <r>
      <rPr>
        <u/>
        <sz val="9"/>
        <color rgb="FF1155CC"/>
        <rFont val="Arial, sans-serif"/>
      </rPr>
      <t>https://maps.google.com/?q=26.288335,50.19881</t>
    </r>
  </si>
  <si>
    <t>CUS678</t>
  </si>
  <si>
    <t>مؤسسة بقالة ليلى الافلاج</t>
  </si>
  <si>
    <t>26.2883317, 50.1947501</t>
  </si>
  <si>
    <r>
      <rPr>
        <u/>
        <sz val="9"/>
        <color rgb="FF1155CC"/>
        <rFont val="Arial, sans-serif"/>
      </rPr>
      <t>https://maps.google.com/?q=26.2883317,50.1947501</t>
    </r>
  </si>
  <si>
    <t>CUS679</t>
  </si>
  <si>
    <t>تموينات الاقصى الفضي</t>
  </si>
  <si>
    <t>26.2899967, 50.196115</t>
  </si>
  <si>
    <r>
      <rPr>
        <u/>
        <sz val="9"/>
        <color rgb="FF1155CC"/>
        <rFont val="Arial, sans-serif"/>
      </rPr>
      <t>https://maps.google.com/?q=26.2899967,50.196115</t>
    </r>
  </si>
  <si>
    <t>CUS680</t>
  </si>
  <si>
    <t>بقالة بصرى حمود شيبه جرمان</t>
  </si>
  <si>
    <t>26.2882083, 50.1964233</t>
  </si>
  <si>
    <r>
      <rPr>
        <u/>
        <sz val="9"/>
        <color rgb="FF1155CC"/>
        <rFont val="Arial, sans-serif"/>
      </rPr>
      <t>https://maps.google.com/?q=26.2882083,50.1964233</t>
    </r>
  </si>
  <si>
    <t>CUS681</t>
  </si>
  <si>
    <t>تموينات ريفان سكوير</t>
  </si>
  <si>
    <t>26.28633, 50.197545</t>
  </si>
  <si>
    <r>
      <rPr>
        <u/>
        <sz val="9"/>
        <color rgb="FF1155CC"/>
        <rFont val="Arial, sans-serif"/>
      </rPr>
      <t>https://maps.google.com/?q=26.28633,50.197545</t>
    </r>
  </si>
  <si>
    <t>CUS682</t>
  </si>
  <si>
    <t>مؤسسة القمة الكبرى</t>
  </si>
  <si>
    <t>26.28646, 50.1980683</t>
  </si>
  <si>
    <r>
      <rPr>
        <u/>
        <sz val="9"/>
        <color rgb="FF1155CC"/>
        <rFont val="Arial, sans-serif"/>
      </rPr>
      <t>https://maps.google.com/?q=26.28646,50.1980683</t>
    </r>
  </si>
  <si>
    <t>CUS683</t>
  </si>
  <si>
    <t>شركة محمد علي بن صالح القحص</t>
  </si>
  <si>
    <t>26.2880153, 50.1958175</t>
  </si>
  <si>
    <r>
      <rPr>
        <u/>
        <sz val="9"/>
        <color rgb="FF1155CC"/>
        <rFont val="Arial, sans-serif"/>
      </rPr>
      <t>https://maps.google.com/?q=26.2880153,50.1958175</t>
    </r>
  </si>
  <si>
    <t>CUS684</t>
  </si>
  <si>
    <t>26.2855083, 50.1940767</t>
  </si>
  <si>
    <r>
      <rPr>
        <u/>
        <sz val="9"/>
        <color rgb="FF1155CC"/>
        <rFont val="Arial, sans-serif"/>
      </rPr>
      <t>https://maps.google.com/?q=26.2855083,50.1940767</t>
    </r>
  </si>
  <si>
    <t>CUS685</t>
  </si>
  <si>
    <t>مؤسسة الحويطي</t>
  </si>
  <si>
    <t>26.2956333, 50.19373</t>
  </si>
  <si>
    <r>
      <rPr>
        <u/>
        <sz val="9"/>
        <color rgb="FF1155CC"/>
        <rFont val="Arial, sans-serif"/>
      </rPr>
      <t>https://maps.google.com/?q=26.2956333,50.19373</t>
    </r>
  </si>
  <si>
    <t>CUS686</t>
  </si>
  <si>
    <t>محمد مهدي</t>
  </si>
  <si>
    <t>26.2949625, 50.1914801</t>
  </si>
  <si>
    <r>
      <rPr>
        <u/>
        <sz val="9"/>
        <color rgb="FF1155CC"/>
        <rFont val="Arial, sans-serif"/>
      </rPr>
      <t>https://maps.google.com/?q=26.2949625,50.1914801</t>
    </r>
  </si>
  <si>
    <t>CUS687</t>
  </si>
  <si>
    <t>سوبر ماركت شركة اوزون الاقتصاديه</t>
  </si>
  <si>
    <t>26.2960726, 50.190666</t>
  </si>
  <si>
    <r>
      <rPr>
        <u/>
        <sz val="9"/>
        <color rgb="FF1155CC"/>
        <rFont val="Arial, sans-serif"/>
      </rPr>
      <t>https://maps.google.com/?q=26.2960726,50.190666</t>
    </r>
  </si>
  <si>
    <t>CUS688</t>
  </si>
  <si>
    <t>بقالة رواسي الخليج</t>
  </si>
  <si>
    <t>26.2955426, 50.1892836</t>
  </si>
  <si>
    <r>
      <rPr>
        <u/>
        <sz val="9"/>
        <color rgb="FF1155CC"/>
        <rFont val="Arial, sans-serif"/>
      </rPr>
      <t>https://maps.google.com/?q=26.2955426,50.1892836</t>
    </r>
  </si>
  <si>
    <t>CUS689</t>
  </si>
  <si>
    <t>سعد فهد القحطاني</t>
  </si>
  <si>
    <t>26.2971133, 50.1891</t>
  </si>
  <si>
    <r>
      <rPr>
        <u/>
        <sz val="9"/>
        <color rgb="FF1155CC"/>
        <rFont val="Arial, sans-serif"/>
      </rPr>
      <t>https://maps.google.com/?q=26.2971133,50.1891</t>
    </r>
  </si>
  <si>
    <t>CUS690</t>
  </si>
  <si>
    <t>تموينات قمر الضواحي</t>
  </si>
  <si>
    <t>26.2986267, 50.189525</t>
  </si>
  <si>
    <r>
      <rPr>
        <u/>
        <sz val="9"/>
        <color rgb="FF1155CC"/>
        <rFont val="Arial, sans-serif"/>
      </rPr>
      <t>https://maps.google.com/?q=26.2986267,50.189525</t>
    </r>
  </si>
  <si>
    <t>CUS691</t>
  </si>
  <si>
    <t>شركة مستلزمات الجودة</t>
  </si>
  <si>
    <t>26.2997888, 50.1983716</t>
  </si>
  <si>
    <r>
      <rPr>
        <u/>
        <sz val="9"/>
        <color rgb="FF1155CC"/>
        <rFont val="Arial, sans-serif"/>
      </rPr>
      <t>https://maps.google.com/?q=26.2997888,50.1983716</t>
    </r>
  </si>
  <si>
    <t>CUS692</t>
  </si>
  <si>
    <t>تموينات أحلا المشتريات</t>
  </si>
  <si>
    <t>26.2916419, 50.200533</t>
  </si>
  <si>
    <r>
      <rPr>
        <u/>
        <sz val="9"/>
        <color rgb="FF1155CC"/>
        <rFont val="Arial, sans-serif"/>
      </rPr>
      <t>https://maps.google.com/?q=26.2916419,50.200533</t>
    </r>
  </si>
  <si>
    <t>CUS693</t>
  </si>
  <si>
    <t>مؤسسة اسيامون</t>
  </si>
  <si>
    <t>26.2911038, 50.202438</t>
  </si>
  <si>
    <r>
      <rPr>
        <u/>
        <sz val="9"/>
        <color rgb="FF1155CC"/>
        <rFont val="Arial, sans-serif"/>
      </rPr>
      <t>https://maps.google.com/?q=26.2911038,50.202438</t>
    </r>
  </si>
  <si>
    <t>CUS694</t>
  </si>
  <si>
    <t>بقالة عبير الشرقية</t>
  </si>
  <si>
    <t>رهيب</t>
  </si>
  <si>
    <t>26.2841617, 50.202555</t>
  </si>
  <si>
    <r>
      <rPr>
        <u/>
        <sz val="9"/>
        <color rgb="FF1155CC"/>
        <rFont val="Arial, sans-serif"/>
      </rPr>
      <t>https://maps.google.com/?q=26.2841617,50.202555</t>
    </r>
  </si>
  <si>
    <t>CUS695</t>
  </si>
  <si>
    <t>تموينات منار الحياة</t>
  </si>
  <si>
    <t>26.29229, 50.20668</t>
  </si>
  <si>
    <r>
      <rPr>
        <u/>
        <sz val="9"/>
        <color rgb="FF1155CC"/>
        <rFont val="Arial, sans-serif"/>
      </rPr>
      <t>https://maps.google.com/?q=26.29229,50.20668</t>
    </r>
  </si>
  <si>
    <t>CUS696</t>
  </si>
  <si>
    <t>تموينات سفينة الخير</t>
  </si>
  <si>
    <t>26.2944319, 50.2063315</t>
  </si>
  <si>
    <r>
      <rPr>
        <u/>
        <sz val="9"/>
        <color rgb="FF1155CC"/>
        <rFont val="Arial, sans-serif"/>
      </rPr>
      <t>https://maps.google.com/?q=26.2944319,50.2063315</t>
    </r>
  </si>
  <si>
    <t>CUS697</t>
  </si>
  <si>
    <t>مركز الاستطلاع للتسويق</t>
  </si>
  <si>
    <t>26.2985998, 50.206274</t>
  </si>
  <si>
    <r>
      <rPr>
        <u/>
        <sz val="9"/>
        <color rgb="FF1155CC"/>
        <rFont val="Arial, sans-serif"/>
      </rPr>
      <t>https://maps.google.com/?q=26.2985998,50.206274</t>
    </r>
  </si>
  <si>
    <t>CUS698</t>
  </si>
  <si>
    <t>26.334455, 50.200395</t>
  </si>
  <si>
    <r>
      <rPr>
        <u/>
        <sz val="9"/>
        <color rgb="FF1155CC"/>
        <rFont val="Arial, sans-serif"/>
      </rPr>
      <t>https://maps.google.com/?q=26.334455,50.200395</t>
    </r>
  </si>
  <si>
    <t>CUS699</t>
  </si>
  <si>
    <t>عالم البشائر</t>
  </si>
  <si>
    <t>26.3356283, 50.19368</t>
  </si>
  <si>
    <r>
      <rPr>
        <u/>
        <sz val="9"/>
        <color rgb="FF1155CC"/>
        <rFont val="Arial, sans-serif"/>
      </rPr>
      <t>https://maps.google.com/?q=26.3356283,50.19368</t>
    </r>
  </si>
  <si>
    <t>CUS700</t>
  </si>
  <si>
    <t>تموينات احمد منصور</t>
  </si>
  <si>
    <t>حي قرطبه</t>
  </si>
  <si>
    <t>اجياد</t>
  </si>
  <si>
    <t>26.3428377, 50.1822455</t>
  </si>
  <si>
    <r>
      <rPr>
        <u/>
        <sz val="9"/>
        <color rgb="FF1155CC"/>
        <rFont val="Arial, sans-serif"/>
      </rPr>
      <t>https://maps.google.com/?q=26.3428377,50.1822455</t>
    </r>
  </si>
  <si>
    <t>CUS701</t>
  </si>
  <si>
    <t>ركن وربة للتموينات</t>
  </si>
  <si>
    <t>26.343155, 50.18288</t>
  </si>
  <si>
    <r>
      <rPr>
        <u/>
        <sz val="9"/>
        <color rgb="FF1155CC"/>
        <rFont val="Arial, sans-serif"/>
      </rPr>
      <t>https://maps.google.com/?q=26.343155,50.18288</t>
    </r>
  </si>
  <si>
    <t>CUS702</t>
  </si>
  <si>
    <t>مؤسسة عبداللة محمد الغامدي</t>
  </si>
  <si>
    <t>26.349375, 50.1898817</t>
  </si>
  <si>
    <r>
      <rPr>
        <u/>
        <sz val="9"/>
        <color rgb="FF1155CC"/>
        <rFont val="Arial, sans-serif"/>
      </rPr>
      <t>https://maps.google.com/?q=26.349375,50.1898817</t>
    </r>
  </si>
  <si>
    <t>CUS703</t>
  </si>
  <si>
    <t>أسواق نجوم هلا</t>
  </si>
  <si>
    <t>26.3446087, 50.1794605</t>
  </si>
  <si>
    <r>
      <rPr>
        <u/>
        <sz val="9"/>
        <color rgb="FF1155CC"/>
        <rFont val="Arial, sans-serif"/>
      </rPr>
      <t>https://maps.google.com/?q=26.3446087,50.1794605</t>
    </r>
  </si>
  <si>
    <t>CUS704</t>
  </si>
  <si>
    <t>اسواق استهلاك الدوحة المركزيه</t>
  </si>
  <si>
    <t>ر مره بوقت ثاني</t>
  </si>
  <si>
    <t>26.319028, 50.1577777</t>
  </si>
  <si>
    <r>
      <rPr>
        <u/>
        <sz val="9"/>
        <color rgb="FF1155CC"/>
        <rFont val="Arial, sans-serif"/>
      </rPr>
      <t>https://maps.google.com/?q=26.319028,50.1577777</t>
    </r>
  </si>
  <si>
    <t>CUS705</t>
  </si>
  <si>
    <t>26.3129817, 50.17785</t>
  </si>
  <si>
    <r>
      <rPr>
        <u/>
        <sz val="9"/>
        <color rgb="FF1155CC"/>
        <rFont val="Arial, sans-serif"/>
      </rPr>
      <t>https://maps.google.com/?q=26.3129817,50.17785</t>
    </r>
  </si>
  <si>
    <t>CUS706</t>
  </si>
  <si>
    <t>بقالة وسيلة الصدارة</t>
  </si>
  <si>
    <t>26.3273017, 50.1690317</t>
  </si>
  <si>
    <r>
      <rPr>
        <u/>
        <sz val="9"/>
        <color rgb="FF1155CC"/>
        <rFont val="Arial, sans-serif"/>
      </rPr>
      <t>https://maps.google.com/?q=26.3273017,50.1690317</t>
    </r>
  </si>
  <si>
    <t>CUS707</t>
  </si>
  <si>
    <t>الحبيل</t>
  </si>
  <si>
    <t>26.3178617, 50.1634583</t>
  </si>
  <si>
    <r>
      <rPr>
        <u/>
        <sz val="9"/>
        <color rgb="FF1155CC"/>
        <rFont val="Arial, sans-serif"/>
      </rPr>
      <t>https://maps.google.com/?q=26.3178617,50.1634583</t>
    </r>
  </si>
  <si>
    <t>CUS708</t>
  </si>
  <si>
    <t>أسواق نهار</t>
  </si>
  <si>
    <t>26.3229395, 50.1615664</t>
  </si>
  <si>
    <r>
      <rPr>
        <u/>
        <sz val="9"/>
        <color rgb="FF1155CC"/>
        <rFont val="Arial, sans-serif"/>
      </rPr>
      <t>https://maps.google.com/?q=26.3229395,50.1615664</t>
    </r>
  </si>
  <si>
    <t>CUS709</t>
  </si>
  <si>
    <t>مؤمن</t>
  </si>
  <si>
    <t>26.3224, 50.1572117</t>
  </si>
  <si>
    <r>
      <rPr>
        <u/>
        <sz val="9"/>
        <color rgb="FF1155CC"/>
        <rFont val="Arial, sans-serif"/>
      </rPr>
      <t>https://maps.google.com/?q=26.3224,50.1572117</t>
    </r>
  </si>
  <si>
    <t>CUS710</t>
  </si>
  <si>
    <t>بقالة المنيح</t>
  </si>
  <si>
    <t>26.3284533, 50.15848</t>
  </si>
  <si>
    <r>
      <rPr>
        <u/>
        <sz val="9"/>
        <color rgb="FF1155CC"/>
        <rFont val="Arial, sans-serif"/>
      </rPr>
      <t>https://maps.google.com/?q=26.3284533,50.15848</t>
    </r>
  </si>
  <si>
    <t>CUS711</t>
  </si>
  <si>
    <t>يتموينات لؤلؤة الدوحة</t>
  </si>
  <si>
    <t>26.3229946, 50.1597629</t>
  </si>
  <si>
    <r>
      <rPr>
        <u/>
        <sz val="9"/>
        <color rgb="FF1155CC"/>
        <rFont val="Arial, sans-serif"/>
      </rPr>
      <t>https://maps.google.com/?q=26.3229946,50.1597629</t>
    </r>
  </si>
  <si>
    <t>CUS712</t>
  </si>
  <si>
    <t>فن السرعه الاوحد</t>
  </si>
  <si>
    <t>26.3272539, 50.167572</t>
  </si>
  <si>
    <r>
      <rPr>
        <u/>
        <sz val="9"/>
        <color rgb="FF1155CC"/>
        <rFont val="Arial, sans-serif"/>
      </rPr>
      <t>https://maps.google.com/?q=26.3272539,50.167572</t>
    </r>
  </si>
  <si>
    <t>CUS713</t>
  </si>
  <si>
    <t>مركز تقنية الدانه</t>
  </si>
  <si>
    <t>26.3495083, 50.15721</t>
  </si>
  <si>
    <r>
      <rPr>
        <u/>
        <sz val="9"/>
        <color rgb="FF1155CC"/>
        <rFont val="Arial, sans-serif"/>
      </rPr>
      <t>https://maps.google.com/?q=26.3495083,50.15721</t>
    </r>
  </si>
  <si>
    <t>CUS714</t>
  </si>
  <si>
    <t>بقالة نصف الشمس</t>
  </si>
  <si>
    <t>اقبال</t>
  </si>
  <si>
    <t>26.3441233, 50.1626867</t>
  </si>
  <si>
    <r>
      <rPr>
        <u/>
        <sz val="9"/>
        <color rgb="FF1155CC"/>
        <rFont val="Arial, sans-serif"/>
      </rPr>
      <t>https://maps.google.com/?q=26.3441233,50.1626867</t>
    </r>
  </si>
  <si>
    <t>CUS715</t>
  </si>
  <si>
    <t>تموينات جيدة واحد</t>
  </si>
  <si>
    <t>26.3354067, 50.1683467</t>
  </si>
  <si>
    <r>
      <rPr>
        <u/>
        <sz val="9"/>
        <color rgb="FF1155CC"/>
        <rFont val="Arial, sans-serif"/>
      </rPr>
      <t>https://maps.google.com/?q=26.3354067,50.1683467</t>
    </r>
  </si>
  <si>
    <t>CUS716</t>
  </si>
  <si>
    <t>بقالة اخر لحظة</t>
  </si>
  <si>
    <t>26.3346217, 50.1660483</t>
  </si>
  <si>
    <r>
      <rPr>
        <u/>
        <sz val="9"/>
        <color rgb="FF1155CC"/>
        <rFont val="Arial, sans-serif"/>
      </rPr>
      <t>https://maps.google.com/?q=26.3346217,50.1660483</t>
    </r>
  </si>
  <si>
    <t>CUS717</t>
  </si>
  <si>
    <t>بقالة جوهرة طلة الخير</t>
  </si>
  <si>
    <t>26.3408117, 50.1604483</t>
  </si>
  <si>
    <r>
      <rPr>
        <u/>
        <sz val="9"/>
        <color rgb="FF1155CC"/>
        <rFont val="Arial, sans-serif"/>
      </rPr>
      <t>https://maps.google.com/?q=26.3408117,50.1604483</t>
    </r>
  </si>
  <si>
    <t>CUS718</t>
  </si>
  <si>
    <t>اسواق اروى الصيعري</t>
  </si>
  <si>
    <t>26.3488153, 50.1426809</t>
  </si>
  <si>
    <r>
      <rPr>
        <u/>
        <sz val="9"/>
        <color rgb="FF1155CC"/>
        <rFont val="Arial, sans-serif"/>
      </rPr>
      <t>https://maps.google.com/?q=26.3488153,50.1426809</t>
    </r>
  </si>
  <si>
    <t>CUS719</t>
  </si>
  <si>
    <t>حي الجامعه</t>
  </si>
  <si>
    <t>26.3352633, 50.1316917</t>
  </si>
  <si>
    <r>
      <rPr>
        <u/>
        <sz val="9"/>
        <color rgb="FF1155CC"/>
        <rFont val="Arial, sans-serif"/>
      </rPr>
      <t>https://maps.google.com/?q=26.3352633,50.1316917</t>
    </r>
  </si>
  <si>
    <t>CUS720</t>
  </si>
  <si>
    <t>ابو ثامر</t>
  </si>
  <si>
    <t>26.332071, 50.1449527</t>
  </si>
  <si>
    <r>
      <rPr>
        <u/>
        <sz val="9"/>
        <color rgb="FF1155CC"/>
        <rFont val="Arial, sans-serif"/>
      </rPr>
      <t>https://maps.google.com/?q=26.332071,50.1449527</t>
    </r>
  </si>
  <si>
    <t>CUS721</t>
  </si>
  <si>
    <t>تموينات التوفير المنزلي</t>
  </si>
  <si>
    <t>26.3483881, 50.1345625</t>
  </si>
  <si>
    <r>
      <rPr>
        <u/>
        <sz val="9"/>
        <color rgb="FF1155CC"/>
        <rFont val="Arial, sans-serif"/>
      </rPr>
      <t>https://maps.google.com/?q=26.3483881,50.1345625</t>
    </r>
  </si>
  <si>
    <t>CUS722</t>
  </si>
  <si>
    <t>مركز امان للتسويق</t>
  </si>
  <si>
    <t>26.345548, 50.1375476</t>
  </si>
  <si>
    <r>
      <rPr>
        <u/>
        <sz val="9"/>
        <color rgb="FF1155CC"/>
        <rFont val="Arial, sans-serif"/>
      </rPr>
      <t>https://maps.google.com/?q=26.345548,50.1375476</t>
    </r>
  </si>
  <si>
    <t>CUS723</t>
  </si>
  <si>
    <t>مركز حي الجامعة</t>
  </si>
  <si>
    <t>26.3466444, 50.1359941</t>
  </si>
  <si>
    <r>
      <rPr>
        <u/>
        <sz val="9"/>
        <color rgb="FF1155CC"/>
        <rFont val="Arial, sans-serif"/>
      </rPr>
      <t>https://maps.google.com/?q=26.3466444,50.1359941</t>
    </r>
  </si>
  <si>
    <t>CUS724</t>
  </si>
  <si>
    <t>نجوم الخيرات</t>
  </si>
  <si>
    <t>26.3469017, 50.1355433</t>
  </si>
  <si>
    <r>
      <rPr>
        <u/>
        <sz val="9"/>
        <color rgb="FF1155CC"/>
        <rFont val="Arial, sans-serif"/>
      </rPr>
      <t>https://maps.google.com/?q=26.3469017,50.1355433</t>
    </r>
  </si>
  <si>
    <t>CUS725</t>
  </si>
  <si>
    <t>مؤسسة انعام الزبير</t>
  </si>
  <si>
    <t>حي هجر</t>
  </si>
  <si>
    <t>نزير</t>
  </si>
  <si>
    <t>26.3727096, 50.1232781</t>
  </si>
  <si>
    <r>
      <rPr>
        <u/>
        <sz val="9"/>
        <color rgb="FF1155CC"/>
        <rFont val="Arial, sans-serif"/>
      </rPr>
      <t>https://maps.google.com/?q=26.3727096,50.1232781</t>
    </r>
  </si>
  <si>
    <t>CUS726</t>
  </si>
  <si>
    <t>مؤسسة مؤنة الغذاء</t>
  </si>
  <si>
    <t>رعد</t>
  </si>
  <si>
    <t>26.3738033, 50.10261</t>
  </si>
  <si>
    <r>
      <rPr>
        <u/>
        <sz val="9"/>
        <color rgb="FF1155CC"/>
        <rFont val="Arial, sans-serif"/>
      </rPr>
      <t>https://maps.google.com/?q=26.3738033,50.10261</t>
    </r>
  </si>
  <si>
    <t>CUS727</t>
  </si>
  <si>
    <t>تموينات مزون هجر</t>
  </si>
  <si>
    <t>26.3691883, 50.10555</t>
  </si>
  <si>
    <r>
      <rPr>
        <u/>
        <sz val="9"/>
        <color rgb="FF1155CC"/>
        <rFont val="Arial, sans-serif"/>
      </rPr>
      <t>https://maps.google.com/?q=26.3691883,50.10555</t>
    </r>
  </si>
  <si>
    <t>CUS728</t>
  </si>
  <si>
    <t>بقالة بيان الازدهار</t>
  </si>
  <si>
    <t>26.3720967, 50.1025983</t>
  </si>
  <si>
    <r>
      <rPr>
        <u/>
        <sz val="9"/>
        <color rgb="FF1155CC"/>
        <rFont val="Arial, sans-serif"/>
      </rPr>
      <t>https://maps.google.com/?q=26.3720967,50.1025983</t>
    </r>
  </si>
  <si>
    <t>CUS729</t>
  </si>
  <si>
    <t>تموينات سلال النجاح</t>
  </si>
  <si>
    <t>حي الواحه</t>
  </si>
  <si>
    <t>26.37256, 50.104815</t>
  </si>
  <si>
    <r>
      <rPr>
        <u/>
        <sz val="9"/>
        <color rgb="FF1155CC"/>
        <rFont val="Arial, sans-serif"/>
      </rPr>
      <t>https://maps.google.com/?q=26.37256,50.104815</t>
    </r>
  </si>
  <si>
    <t>CUS730</t>
  </si>
  <si>
    <t>مؤسسة الثلاثية الابعاد</t>
  </si>
  <si>
    <t>رقم التوصيل</t>
  </si>
  <si>
    <t>26.3729917, 50.10429</t>
  </si>
  <si>
    <r>
      <rPr>
        <u/>
        <sz val="9"/>
        <color rgb="FF1155CC"/>
        <rFont val="Arial, sans-serif"/>
      </rPr>
      <t>https://maps.google.com/?q=26.3729917,50.10429</t>
    </r>
  </si>
  <si>
    <t>CUS731</t>
  </si>
  <si>
    <t>26.3715233, 50.0955317</t>
  </si>
  <si>
    <r>
      <rPr>
        <u/>
        <sz val="9"/>
        <color rgb="FF1155CC"/>
        <rFont val="Arial, sans-serif"/>
      </rPr>
      <t>https://maps.google.com/?q=26.3715233,50.0955317</t>
    </r>
  </si>
  <si>
    <t>CUS732</t>
  </si>
  <si>
    <t>تموينات دهمة</t>
  </si>
  <si>
    <t>رقم البقالة</t>
  </si>
  <si>
    <t>26.3613633, 50.08054</t>
  </si>
  <si>
    <r>
      <rPr>
        <u/>
        <sz val="9"/>
        <color rgb="FF1155CC"/>
        <rFont val="Arial, sans-serif"/>
      </rPr>
      <t>https://maps.google.com/?q=26.3613633,50.08054</t>
    </r>
  </si>
  <si>
    <t>CUS733</t>
  </si>
  <si>
    <t>شركة النرجس</t>
  </si>
  <si>
    <t>26.3552694, 50.0709612</t>
  </si>
  <si>
    <r>
      <rPr>
        <u/>
        <sz val="9"/>
        <color rgb="FF1155CC"/>
        <rFont val="Arial, sans-serif"/>
      </rPr>
      <t>https://maps.google.com/?q=26.3552694,50.0709612</t>
    </r>
  </si>
  <si>
    <t>CUS734</t>
  </si>
  <si>
    <t>شركة البراك سالم العامري</t>
  </si>
  <si>
    <t>26.3546122, 50.0767922</t>
  </si>
  <si>
    <r>
      <rPr>
        <u/>
        <sz val="9"/>
        <color rgb="FF1155CC"/>
        <rFont val="Arial, sans-serif"/>
      </rPr>
      <t>https://maps.google.com/?q=26.3546122,50.0767922</t>
    </r>
  </si>
  <si>
    <t>CUS735</t>
  </si>
  <si>
    <t>لؤلؤة الشعلة</t>
  </si>
  <si>
    <t>26.35566, 50.0764067</t>
  </si>
  <si>
    <r>
      <rPr>
        <u/>
        <sz val="9"/>
        <color rgb="FF1155CC"/>
        <rFont val="Arial, sans-serif"/>
      </rPr>
      <t>https://maps.google.com/?q=26.35566,50.0764067</t>
    </r>
  </si>
  <si>
    <t>CUS736</t>
  </si>
  <si>
    <t>تموينات ميزة المستهلك</t>
  </si>
  <si>
    <t>26.358515, 50.0746067</t>
  </si>
  <si>
    <r>
      <rPr>
        <u/>
        <sz val="9"/>
        <color rgb="FF1155CC"/>
        <rFont val="Arial, sans-serif"/>
      </rPr>
      <t>https://maps.google.com/?q=26.358515,50.0746067</t>
    </r>
  </si>
  <si>
    <t>CUS737</t>
  </si>
  <si>
    <t>تموينات شعلة الخير</t>
  </si>
  <si>
    <t>26.3591767, 50.0746233</t>
  </si>
  <si>
    <r>
      <rPr>
        <u/>
        <sz val="9"/>
        <color rgb="FF1155CC"/>
        <rFont val="Arial, sans-serif"/>
      </rPr>
      <t>https://maps.google.com/?q=26.3591767,50.0746233</t>
    </r>
  </si>
  <si>
    <t>CUS738</t>
  </si>
  <si>
    <t>شركة وسط الشعلة</t>
  </si>
  <si>
    <t>26.3583483, 50.075835</t>
  </si>
  <si>
    <r>
      <rPr>
        <u/>
        <sz val="9"/>
        <color rgb="FF1155CC"/>
        <rFont val="Arial, sans-serif"/>
      </rPr>
      <t>https://maps.google.com/?q=26.3583483,50.075835</t>
    </r>
  </si>
  <si>
    <t>CUS739</t>
  </si>
  <si>
    <t>اسواق زاد الخير</t>
  </si>
  <si>
    <t>حي الشعله</t>
  </si>
  <si>
    <t>26.3529633, 50.0779892</t>
  </si>
  <si>
    <r>
      <rPr>
        <u/>
        <sz val="9"/>
        <color rgb="FF1155CC"/>
        <rFont val="Arial, sans-serif"/>
      </rPr>
      <t>https://maps.google.com/?q=26.3529633,50.0779892</t>
    </r>
  </si>
  <si>
    <t>CUS740</t>
  </si>
  <si>
    <t>تموينات بساتين الصفوة</t>
  </si>
  <si>
    <t>محمد الصيعري</t>
  </si>
  <si>
    <t>26.3446383, 50.0772283</t>
  </si>
  <si>
    <r>
      <rPr>
        <u/>
        <sz val="9"/>
        <color rgb="FF1155CC"/>
        <rFont val="Arial, sans-serif"/>
      </rPr>
      <t>https://maps.google.com/?q=26.3446383,50.0772283</t>
    </r>
  </si>
  <si>
    <t>CUS741</t>
  </si>
  <si>
    <t>شركة بسمي</t>
  </si>
  <si>
    <t>26.343025, 50.0788233</t>
  </si>
  <si>
    <r>
      <rPr>
        <u/>
        <sz val="9"/>
        <color rgb="FF1155CC"/>
        <rFont val="Arial, sans-serif"/>
      </rPr>
      <t>https://maps.google.com/?q=26.343025,50.0788233</t>
    </r>
  </si>
  <si>
    <t>CUS742</t>
  </si>
  <si>
    <t>تموينات فهد طامي</t>
  </si>
  <si>
    <t>26.345355, 50.09928</t>
  </si>
  <si>
    <r>
      <rPr>
        <u/>
        <sz val="9"/>
        <color rgb="FF1155CC"/>
        <rFont val="Arial, sans-serif"/>
      </rPr>
      <t>https://maps.google.com/?q=26.345355,50.09928</t>
    </r>
  </si>
  <si>
    <t>CUS743</t>
  </si>
  <si>
    <t>مؤنة 3</t>
  </si>
  <si>
    <t>26.3509174, 50.0933491</t>
  </si>
  <si>
    <r>
      <rPr>
        <u/>
        <sz val="9"/>
        <color rgb="FF1155CC"/>
        <rFont val="Arial, sans-serif"/>
      </rPr>
      <t>https://maps.google.com/?q=26.3509174,50.0933491</t>
    </r>
  </si>
  <si>
    <t>CUS744</t>
  </si>
  <si>
    <t>26.3534548, 50.0977947</t>
  </si>
  <si>
    <r>
      <rPr>
        <u/>
        <sz val="9"/>
        <color rgb="FF1155CC"/>
        <rFont val="Arial, sans-serif"/>
      </rPr>
      <t>https://maps.google.com/?q=26.3534548,50.0977947</t>
    </r>
  </si>
  <si>
    <t>CUS745</t>
  </si>
  <si>
    <t>اسواق ومخابزالساحل الشرقي</t>
  </si>
  <si>
    <t>محمد مقبل</t>
  </si>
  <si>
    <t>26.35381, 50.0988655</t>
  </si>
  <si>
    <r>
      <rPr>
        <u/>
        <sz val="9"/>
        <color rgb="FF1155CC"/>
        <rFont val="Arial, sans-serif"/>
      </rPr>
      <t>https://maps.google.com/?q=26.35381,50.0988655</t>
    </r>
  </si>
  <si>
    <t>CUS746</t>
  </si>
  <si>
    <t>تموينات فالكم طيب</t>
  </si>
  <si>
    <t>26.3540682, 50.0993699</t>
  </si>
  <si>
    <r>
      <rPr>
        <u/>
        <sz val="9"/>
        <color rgb="FF1155CC"/>
        <rFont val="Arial, sans-serif"/>
      </rPr>
      <t>https://maps.google.com/?q=26.3540682,50.0993699</t>
    </r>
  </si>
  <si>
    <t>CUS747</t>
  </si>
  <si>
    <t>تموينات الفن الراقي</t>
  </si>
  <si>
    <t>محمد الشميري</t>
  </si>
  <si>
    <t>26.3570983, 50.0681017</t>
  </si>
  <si>
    <r>
      <rPr>
        <u/>
        <sz val="9"/>
        <color rgb="FF1155CC"/>
        <rFont val="Arial, sans-serif"/>
      </rPr>
      <t>https://maps.google.com/?q=26.3570983,50.0681017</t>
    </r>
  </si>
  <si>
    <t>CUS748</t>
  </si>
  <si>
    <t>تموينات ديم البرق</t>
  </si>
  <si>
    <t>حي طيبه</t>
  </si>
  <si>
    <t>26.35817, 50.0669733</t>
  </si>
  <si>
    <r>
      <rPr>
        <u/>
        <sz val="9"/>
        <color rgb="FF1155CC"/>
        <rFont val="Arial, sans-serif"/>
      </rPr>
      <t>https://maps.google.com/?q=26.35817,50.0669733</t>
    </r>
  </si>
  <si>
    <t>CUS749</t>
  </si>
  <si>
    <t>مؤنة</t>
  </si>
  <si>
    <t>26.3588417, 50.0668767</t>
  </si>
  <si>
    <r>
      <rPr>
        <u/>
        <sz val="9"/>
        <color rgb="FF1155CC"/>
        <rFont val="Arial, sans-serif"/>
      </rPr>
      <t>https://maps.google.com/?q=26.3588417,50.0668767</t>
    </r>
  </si>
  <si>
    <t>CUS750</t>
  </si>
  <si>
    <t>تموينات شيخة سجدي العتيبي</t>
  </si>
  <si>
    <t>ابراهيم الحميري</t>
  </si>
  <si>
    <t>26.3566833, 50.0627183</t>
  </si>
  <si>
    <r>
      <rPr>
        <u/>
        <sz val="9"/>
        <color rgb="FF1155CC"/>
        <rFont val="Arial, sans-serif"/>
      </rPr>
      <t>https://maps.google.com/?q=26.3566833,50.0627183</t>
    </r>
  </si>
  <si>
    <t>CUS751</t>
  </si>
  <si>
    <t>تموينات دكان الحي</t>
  </si>
  <si>
    <t>فراس</t>
  </si>
  <si>
    <t>26.3484633, 50.0586933</t>
  </si>
  <si>
    <r>
      <rPr>
        <u/>
        <sz val="9"/>
        <color rgb="FF1155CC"/>
        <rFont val="Arial, sans-serif"/>
      </rPr>
      <t>https://maps.google.com/?q=26.3484633,50.0586933</t>
    </r>
  </si>
  <si>
    <t>CUS752</t>
  </si>
  <si>
    <t>تموينات شهد</t>
  </si>
  <si>
    <t>26.3485472, 50.0502274</t>
  </si>
  <si>
    <r>
      <rPr>
        <u/>
        <sz val="9"/>
        <color rgb="FF1155CC"/>
        <rFont val="Arial, sans-serif"/>
      </rPr>
      <t>https://maps.google.com/?q=26.3485472,50.0502274</t>
    </r>
  </si>
  <si>
    <t>CUS753</t>
  </si>
  <si>
    <t>تموينات نهار الصيعري</t>
  </si>
  <si>
    <t>26.3507467, 50.05336</t>
  </si>
  <si>
    <r>
      <rPr>
        <u/>
        <sz val="9"/>
        <color rgb="FF1155CC"/>
        <rFont val="Arial, sans-serif"/>
      </rPr>
      <t>https://maps.google.com/?q=26.3507467,50.05336</t>
    </r>
  </si>
  <si>
    <t>CUS754</t>
  </si>
  <si>
    <t>تموينات اغذية العائلة</t>
  </si>
  <si>
    <t>26.3319067, 50.0481133</t>
  </si>
  <si>
    <r>
      <rPr>
        <u/>
        <sz val="9"/>
        <color rgb="FF1155CC"/>
        <rFont val="Arial, sans-serif"/>
      </rPr>
      <t>https://maps.google.com/?q=26.3319067,50.0481133</t>
    </r>
  </si>
  <si>
    <t>CUS755</t>
  </si>
  <si>
    <t>مؤسسة فخر الشعلة</t>
  </si>
  <si>
    <t>26.33853, 50.0402333</t>
  </si>
  <si>
    <r>
      <rPr>
        <u/>
        <sz val="9"/>
        <color rgb="FF1155CC"/>
        <rFont val="Arial, sans-serif"/>
      </rPr>
      <t>https://maps.google.com/?q=26.33853,50.0402333</t>
    </r>
  </si>
  <si>
    <t>CUS756</t>
  </si>
  <si>
    <t>جوهرة المستهلك</t>
  </si>
  <si>
    <t>26.3468367, 50.0480233</t>
  </si>
  <si>
    <r>
      <rPr>
        <u/>
        <sz val="9"/>
        <color rgb="FF1155CC"/>
        <rFont val="Arial, sans-serif"/>
      </rPr>
      <t>https://maps.google.com/?q=26.3468367,50.0480233</t>
    </r>
  </si>
  <si>
    <t>CUS757</t>
  </si>
  <si>
    <t>أسواق سلة الفاخرية</t>
  </si>
  <si>
    <t>امجد الايوبي</t>
  </si>
  <si>
    <t>26.346405, 50.047575</t>
  </si>
  <si>
    <r>
      <rPr>
        <u/>
        <sz val="9"/>
        <color rgb="FF1155CC"/>
        <rFont val="Arial, sans-serif"/>
      </rPr>
      <t>https://maps.google.com/?q=26.346405,50.047575</t>
    </r>
  </si>
  <si>
    <t>CUS758</t>
  </si>
  <si>
    <t>26.3450783, 50.044705</t>
  </si>
  <si>
    <r>
      <rPr>
        <u/>
        <sz val="9"/>
        <color rgb="FF1155CC"/>
        <rFont val="Arial, sans-serif"/>
      </rPr>
      <t>https://maps.google.com/?q=26.3450783,50.044705</t>
    </r>
  </si>
  <si>
    <t>CUS759</t>
  </si>
  <si>
    <t>تموينات رباع المسري</t>
  </si>
  <si>
    <t>26.3441213, 50.0335083</t>
  </si>
  <si>
    <r>
      <rPr>
        <u/>
        <sz val="9"/>
        <color rgb="FF1155CC"/>
        <rFont val="Arial, sans-serif"/>
      </rPr>
      <t>https://maps.google.com/?q=26.3441213,50.0335083</t>
    </r>
  </si>
  <si>
    <t>CUS760</t>
  </si>
  <si>
    <t>تموينات تاليا العرب</t>
  </si>
  <si>
    <t>أحمد</t>
  </si>
  <si>
    <t>26.342135, 50.0374933</t>
  </si>
  <si>
    <r>
      <rPr>
        <u/>
        <sz val="9"/>
        <color rgb="FF1155CC"/>
        <rFont val="Arial, sans-serif"/>
      </rPr>
      <t>https://maps.google.com/?q=26.342135,50.0374933</t>
    </r>
  </si>
  <si>
    <t>CUS761</t>
  </si>
  <si>
    <t>مؤسسة منار الشرق النادرة</t>
  </si>
  <si>
    <t>ابو موفق</t>
  </si>
  <si>
    <t>26.3491933, 50.0422467</t>
  </si>
  <si>
    <r>
      <rPr>
        <u/>
        <sz val="9"/>
        <color rgb="FF1155CC"/>
        <rFont val="Arial, sans-serif"/>
      </rPr>
      <t>https://maps.google.com/?q=26.3491933,50.0422467</t>
    </r>
  </si>
  <si>
    <t>CUS762</t>
  </si>
  <si>
    <t>سليمان</t>
  </si>
  <si>
    <t>26.3469167, 50.0435367</t>
  </si>
  <si>
    <r>
      <rPr>
        <u/>
        <sz val="9"/>
        <color rgb="FF1155CC"/>
        <rFont val="Arial, sans-serif"/>
      </rPr>
      <t>https://maps.google.com/?q=26.3469167,50.0435367</t>
    </r>
  </si>
  <si>
    <t>CUS763</t>
  </si>
  <si>
    <t>اسواق خير سلتي</t>
  </si>
  <si>
    <t>26.3524017, 50.0400967</t>
  </si>
  <si>
    <r>
      <rPr>
        <u/>
        <sz val="9"/>
        <color rgb="FF1155CC"/>
        <rFont val="Arial, sans-serif"/>
      </rPr>
      <t>https://maps.google.com/?q=26.3524017,50.0400967</t>
    </r>
  </si>
  <si>
    <t>CUS764</t>
  </si>
  <si>
    <t>سبل ماركت</t>
  </si>
  <si>
    <t>26.3536534, 50.0420817</t>
  </si>
  <si>
    <r>
      <rPr>
        <u/>
        <sz val="9"/>
        <color rgb="FF1155CC"/>
        <rFont val="Arial, sans-serif"/>
      </rPr>
      <t>https://maps.google.com/?q=26.3536534,50.0420817</t>
    </r>
  </si>
  <si>
    <t>CUS765</t>
  </si>
  <si>
    <t>تموينات جناين</t>
  </si>
  <si>
    <t>26.3542221, 50.0424709</t>
  </si>
  <si>
    <r>
      <rPr>
        <u/>
        <sz val="9"/>
        <color rgb="FF1155CC"/>
        <rFont val="Arial, sans-serif"/>
      </rPr>
      <t>https://maps.google.com/?q=26.3542221,50.0424709</t>
    </r>
  </si>
  <si>
    <t>CUS766</t>
  </si>
  <si>
    <t>تموينات حكاية ميرا</t>
  </si>
  <si>
    <t>مراد</t>
  </si>
  <si>
    <t>26.3655883, 50.049535</t>
  </si>
  <si>
    <r>
      <rPr>
        <u/>
        <sz val="9"/>
        <color rgb="FF1155CC"/>
        <rFont val="Arial, sans-serif"/>
      </rPr>
      <t>https://maps.google.com/?q=26.3655883,50.049535</t>
    </r>
  </si>
  <si>
    <t>CUS767</t>
  </si>
  <si>
    <t>أسواق عربة زادي</t>
  </si>
  <si>
    <t>26.3550183, 50.0472683</t>
  </si>
  <si>
    <r>
      <rPr>
        <u/>
        <sz val="9"/>
        <color rgb="FF1155CC"/>
        <rFont val="Arial, sans-serif"/>
      </rPr>
      <t>https://maps.google.com/?q=26.3550183,50.0472683</t>
    </r>
  </si>
  <si>
    <t>CUS768</t>
  </si>
  <si>
    <t>اسواق ومخابز إوول مارت</t>
  </si>
  <si>
    <t>26.35823, 50.044545</t>
  </si>
  <si>
    <r>
      <rPr>
        <u/>
        <sz val="9"/>
        <color rgb="FF1155CC"/>
        <rFont val="Arial, sans-serif"/>
      </rPr>
      <t>https://maps.google.com/?q=26.35823,50.044545</t>
    </r>
  </si>
  <si>
    <t>CUS769</t>
  </si>
  <si>
    <t>26.3544367, 50.048335</t>
  </si>
  <si>
    <r>
      <rPr>
        <u/>
        <sz val="9"/>
        <color rgb="FF1155CC"/>
        <rFont val="Arial, sans-serif"/>
      </rPr>
      <t>https://maps.google.com/?q=26.3544367,50.048335</t>
    </r>
  </si>
  <si>
    <t>CUS770</t>
  </si>
  <si>
    <t>تموينات زاد الشروق</t>
  </si>
  <si>
    <t>بلال</t>
  </si>
  <si>
    <t>26.3533125, 50.0493364</t>
  </si>
  <si>
    <r>
      <rPr>
        <u/>
        <sz val="9"/>
        <color rgb="FF1155CC"/>
        <rFont val="Arial, sans-serif"/>
      </rPr>
      <t>https://maps.google.com/?q=26.3533125,50.0493364</t>
    </r>
  </si>
  <si>
    <t>CUS771</t>
  </si>
  <si>
    <t>مؤسسة قف وناضر</t>
  </si>
  <si>
    <t>حي الندى</t>
  </si>
  <si>
    <t>26.3568683, 50.0606667</t>
  </si>
  <si>
    <r>
      <rPr>
        <u/>
        <sz val="9"/>
        <color rgb="FF1155CC"/>
        <rFont val="Arial, sans-serif"/>
      </rPr>
      <t>https://maps.google.com/?q=26.3568683,50.0606667</t>
    </r>
  </si>
  <si>
    <t>CUS772</t>
  </si>
  <si>
    <t>تموينات انوار النجوم</t>
  </si>
  <si>
    <t>26.359605, 50.0650933</t>
  </si>
  <si>
    <r>
      <rPr>
        <u/>
        <sz val="9"/>
        <color rgb="FF1155CC"/>
        <rFont val="Arial, sans-serif"/>
      </rPr>
      <t>https://maps.google.com/?q=26.359605,50.0650933</t>
    </r>
  </si>
  <si>
    <t>CUS773</t>
  </si>
  <si>
    <t>اسواق ومخابز طلة الخير</t>
  </si>
  <si>
    <t>26.3629178, 50.0633782</t>
  </si>
  <si>
    <r>
      <rPr>
        <u/>
        <sz val="9"/>
        <color rgb="FF1155CC"/>
        <rFont val="Arial, sans-serif"/>
      </rPr>
      <t>https://maps.google.com/?q=26.3629178,50.0633782</t>
    </r>
  </si>
  <si>
    <t>CUS774</t>
  </si>
  <si>
    <t>26.3653875, 50.0612925</t>
  </si>
  <si>
    <r>
      <rPr>
        <u/>
        <sz val="9"/>
        <color rgb="FF1155CC"/>
        <rFont val="Arial, sans-serif"/>
      </rPr>
      <t>https://maps.google.com/?q=26.3653875,50.0612925</t>
    </r>
  </si>
  <si>
    <t>CUS775</t>
  </si>
  <si>
    <t>عربة زادي</t>
  </si>
  <si>
    <t>26.3692836, 50.0581549</t>
  </si>
  <si>
    <r>
      <rPr>
        <u/>
        <sz val="9"/>
        <color rgb="FF1155CC"/>
        <rFont val="Arial, sans-serif"/>
      </rPr>
      <t>https://maps.google.com/?q=26.3692836,50.0581549</t>
    </r>
  </si>
  <si>
    <t>CUS776</t>
  </si>
  <si>
    <t>تموينات السميكة</t>
  </si>
  <si>
    <t>26.3707, 50.0608733</t>
  </si>
  <si>
    <r>
      <rPr>
        <u/>
        <sz val="9"/>
        <color rgb="FF1155CC"/>
        <rFont val="Arial, sans-serif"/>
      </rPr>
      <t>https://maps.google.com/?q=26.3707,50.0608733</t>
    </r>
  </si>
  <si>
    <t>CUS777</t>
  </si>
  <si>
    <t>تموينات سدرة الواحة</t>
  </si>
  <si>
    <t>رفيق</t>
  </si>
  <si>
    <t>26.3662983, 50.061135</t>
  </si>
  <si>
    <r>
      <rPr>
        <u/>
        <sz val="9"/>
        <color rgb="FF1155CC"/>
        <rFont val="Arial, sans-serif"/>
      </rPr>
      <t>https://maps.google.com/?q=26.3662983,50.061135</t>
    </r>
  </si>
  <si>
    <t>CUS778</t>
  </si>
  <si>
    <t>بقالة الوان سبأ</t>
  </si>
  <si>
    <t>وسيم الحمودي</t>
  </si>
  <si>
    <t>26.365695, 50.061685</t>
  </si>
  <si>
    <r>
      <rPr>
        <u/>
        <sz val="9"/>
        <color rgb="FF1155CC"/>
        <rFont val="Arial, sans-serif"/>
      </rPr>
      <t>https://maps.google.com/?q=26.365695,50.061685</t>
    </r>
  </si>
  <si>
    <t>CUS779</t>
  </si>
  <si>
    <t>تموينات شاطئ المدينة</t>
  </si>
  <si>
    <t>26.362307, 50.0645395</t>
  </si>
  <si>
    <r>
      <rPr>
        <u/>
        <sz val="9"/>
        <color rgb="FF1155CC"/>
        <rFont val="Arial, sans-serif"/>
      </rPr>
      <t>https://maps.google.com/?q=26.362307,50.0645395</t>
    </r>
  </si>
  <si>
    <t>CUS780</t>
  </si>
  <si>
    <t>اطلال الخير</t>
  </si>
  <si>
    <t>26.3616283, 50.0651667</t>
  </si>
  <si>
    <r>
      <rPr>
        <u/>
        <sz val="9"/>
        <color rgb="FF1155CC"/>
        <rFont val="Arial, sans-serif"/>
      </rPr>
      <t>https://maps.google.com/?q=26.3616283,50.0651667</t>
    </r>
  </si>
  <si>
    <t>CUS781</t>
  </si>
  <si>
    <t>تموينات توفير طيبة</t>
  </si>
  <si>
    <t>26.3704555, 50.0844187</t>
  </si>
  <si>
    <r>
      <rPr>
        <u/>
        <sz val="9"/>
        <color rgb="FF1155CC"/>
        <rFont val="Arial, sans-serif"/>
      </rPr>
      <t>https://maps.google.com/?q=26.3704555,50.0844187</t>
    </r>
  </si>
  <si>
    <t>CUS782</t>
  </si>
  <si>
    <t>مؤسسة الروائع الفنية</t>
  </si>
  <si>
    <t>26.3655017, 50.0770917</t>
  </si>
  <si>
    <r>
      <rPr>
        <u/>
        <sz val="9"/>
        <color rgb="FF1155CC"/>
        <rFont val="Arial, sans-serif"/>
      </rPr>
      <t>https://maps.google.com/?q=26.3655017,50.0770917</t>
    </r>
  </si>
  <si>
    <t>CUS783</t>
  </si>
  <si>
    <t>بقالة هدى الحيز</t>
  </si>
  <si>
    <t>راشد</t>
  </si>
  <si>
    <t>26.3666917, 50.0686583</t>
  </si>
  <si>
    <r>
      <rPr>
        <u/>
        <sz val="9"/>
        <color rgb="FF1155CC"/>
        <rFont val="Arial, sans-serif"/>
      </rPr>
      <t>https://maps.google.com/?q=26.3666917,50.0686583</t>
    </r>
  </si>
  <si>
    <t>CUS784</t>
  </si>
  <si>
    <t>بقالة عاصفة الاعمال</t>
  </si>
  <si>
    <t>26.36633, 50.0761583</t>
  </si>
  <si>
    <r>
      <rPr>
        <u/>
        <sz val="9"/>
        <color rgb="FF1155CC"/>
        <rFont val="Arial, sans-serif"/>
      </rPr>
      <t>https://maps.google.com/?q=26.36633,50.0761583</t>
    </r>
  </si>
  <si>
    <t>CUS785</t>
  </si>
  <si>
    <t>الغافة ماركت</t>
  </si>
  <si>
    <t>26.367625, 50.0782183</t>
  </si>
  <si>
    <r>
      <rPr>
        <u/>
        <sz val="9"/>
        <color rgb="FF1155CC"/>
        <rFont val="Arial, sans-serif"/>
      </rPr>
      <t>https://maps.google.com/?q=26.367625,50.0782183</t>
    </r>
  </si>
  <si>
    <t>CUS786</t>
  </si>
  <si>
    <t>تموينات نوف المطيري</t>
  </si>
  <si>
    <t>26.3731283, 50.0803667</t>
  </si>
  <si>
    <r>
      <rPr>
        <u/>
        <sz val="9"/>
        <color rgb="FF1155CC"/>
        <rFont val="Arial, sans-serif"/>
      </rPr>
      <t>https://maps.google.com/?q=26.3731283,50.0803667</t>
    </r>
  </si>
  <si>
    <t>CUS787</t>
  </si>
  <si>
    <t>عزم ما ركت</t>
  </si>
  <si>
    <t>عبدالله با حاج</t>
  </si>
  <si>
    <t>26.3706809, 50.0825942</t>
  </si>
  <si>
    <r>
      <rPr>
        <u/>
        <sz val="9"/>
        <color rgb="FF1155CC"/>
        <rFont val="Arial, sans-serif"/>
      </rPr>
      <t>https://maps.google.com/?q=26.3706809,50.0825942</t>
    </r>
  </si>
  <si>
    <t>CUS788</t>
  </si>
  <si>
    <t>26.3730458, 50.0911265</t>
  </si>
  <si>
    <r>
      <rPr>
        <u/>
        <sz val="9"/>
        <color rgb="FF1155CC"/>
        <rFont val="Arial, sans-serif"/>
      </rPr>
      <t>https://maps.google.com/?q=26.3730458,50.0911265</t>
    </r>
  </si>
  <si>
    <t>CUS789</t>
  </si>
  <si>
    <t>خالد الكثيري</t>
  </si>
  <si>
    <t>26.2570276, 50.07101</t>
  </si>
  <si>
    <r>
      <rPr>
        <u/>
        <sz val="9"/>
        <color rgb="FF1155CC"/>
        <rFont val="Arial, sans-serif"/>
      </rPr>
      <t>https://maps.google.com/?q=26.2570276,50.07101</t>
    </r>
  </si>
  <si>
    <t>CUS790</t>
  </si>
  <si>
    <t>أمواج ماركت</t>
  </si>
  <si>
    <t>26.2331083, 49.9889433</t>
  </si>
  <si>
    <r>
      <rPr>
        <u/>
        <sz val="9"/>
        <color rgb="FF1155CC"/>
        <rFont val="Arial, sans-serif"/>
      </rPr>
      <t>https://maps.google.com/?q=26.2331083,49.9889433</t>
    </r>
  </si>
  <si>
    <t>CUS791</t>
  </si>
  <si>
    <t>أسواق كيان البطحاء</t>
  </si>
  <si>
    <t>عبدالله با وزير</t>
  </si>
  <si>
    <t>26.2306917, 49.9979083</t>
  </si>
  <si>
    <r>
      <rPr>
        <u/>
        <sz val="9"/>
        <color rgb="FF1155CC"/>
        <rFont val="Arial, sans-serif"/>
      </rPr>
      <t>https://maps.google.com/?q=26.2306917,49.9979083</t>
    </r>
  </si>
  <si>
    <t>CUS792</t>
  </si>
  <si>
    <t>26.2413667, 49.9980983</t>
  </si>
  <si>
    <r>
      <rPr>
        <u/>
        <sz val="9"/>
        <color rgb="FF1155CC"/>
        <rFont val="Arial, sans-serif"/>
      </rPr>
      <t>https://maps.google.com/?q=26.2413667,49.9980983</t>
    </r>
  </si>
  <si>
    <t>CUS793</t>
  </si>
  <si>
    <t>أسواق وول مارت</t>
  </si>
  <si>
    <t>26.2960248, 50.034956</t>
  </si>
  <si>
    <r>
      <rPr>
        <u/>
        <sz val="9"/>
        <color rgb="FF1155CC"/>
        <rFont val="Arial, sans-serif"/>
      </rPr>
      <t>https://maps.google.com/?q=26.2960248,50.034956</t>
    </r>
  </si>
  <si>
    <t>CUS794</t>
  </si>
  <si>
    <t>ٱسواق مديلز</t>
  </si>
  <si>
    <t>عارف</t>
  </si>
  <si>
    <t>26.3351798, 50.0126588</t>
  </si>
  <si>
    <r>
      <rPr>
        <u/>
        <sz val="9"/>
        <color rgb="FF1155CC"/>
        <rFont val="Arial, sans-serif"/>
      </rPr>
      <t>https://maps.google.com/?q=26.3351798,50.0126588</t>
    </r>
  </si>
  <si>
    <t>CUS795</t>
  </si>
  <si>
    <t>أسواق سيول الشرق</t>
  </si>
  <si>
    <t>ولدان</t>
  </si>
  <si>
    <t>26.3393265, 50.0082475</t>
  </si>
  <si>
    <r>
      <rPr>
        <u/>
        <sz val="9"/>
        <color rgb="FF1155CC"/>
        <rFont val="Arial, sans-serif"/>
      </rPr>
      <t>https://maps.google.com/?q=26.3393265,50.0082475</t>
    </r>
  </si>
  <si>
    <t>CUS796</t>
  </si>
  <si>
    <t>26.3361362, 49.9996485</t>
  </si>
  <si>
    <r>
      <rPr>
        <u/>
        <sz val="9"/>
        <color rgb="FF1155CC"/>
        <rFont val="Arial, sans-serif"/>
      </rPr>
      <t>https://maps.google.com/?q=26.3361362,49.9996485</t>
    </r>
  </si>
  <si>
    <t>CUS797</t>
  </si>
  <si>
    <t>تموينات روف الجوهرة</t>
  </si>
  <si>
    <t>26.3311083, 50.002945</t>
  </si>
  <si>
    <r>
      <rPr>
        <u/>
        <sz val="9"/>
        <color rgb="FF1155CC"/>
        <rFont val="Arial, sans-serif"/>
      </rPr>
      <t>https://maps.google.com/?q=26.3311083,50.002945</t>
    </r>
  </si>
  <si>
    <t>CUS798</t>
  </si>
  <si>
    <t>اسواق ومخابز ملتقى التوفير</t>
  </si>
  <si>
    <t>ربيع ابو احمد</t>
  </si>
  <si>
    <t>26.3298433, 49.9933633</t>
  </si>
  <si>
    <r>
      <rPr>
        <u/>
        <sz val="9"/>
        <color rgb="FF1155CC"/>
        <rFont val="Arial, sans-serif"/>
      </rPr>
      <t>https://maps.google.com/?q=26.3298433,49.9933633</t>
    </r>
  </si>
  <si>
    <t>CUS799</t>
  </si>
  <si>
    <t>26.3304848, 49.9827546</t>
  </si>
  <si>
    <r>
      <rPr>
        <u/>
        <sz val="9"/>
        <color rgb="FF1155CC"/>
        <rFont val="Arial, sans-serif"/>
      </rPr>
      <t>https://maps.google.com/?q=26.3304848,49.9827546</t>
    </r>
  </si>
  <si>
    <t>CUS800</t>
  </si>
  <si>
    <t>تموينات نهلة الفرسان للتسوق</t>
  </si>
  <si>
    <t>حي الفرسان</t>
  </si>
  <si>
    <t>26.3569033, 49.96029</t>
  </si>
  <si>
    <r>
      <rPr>
        <u/>
        <sz val="9"/>
        <color rgb="FF1155CC"/>
        <rFont val="Arial, sans-serif"/>
      </rPr>
      <t>https://maps.google.com/?q=26.3569033,49.96029</t>
    </r>
  </si>
  <si>
    <t>CUS801</t>
  </si>
  <si>
    <t>أسواق باب الشاطئ المركزية</t>
  </si>
  <si>
    <t>رايس</t>
  </si>
  <si>
    <t>26.3580383, 49.9641933</t>
  </si>
  <si>
    <r>
      <rPr>
        <u/>
        <sz val="9"/>
        <color rgb="FF1155CC"/>
        <rFont val="Arial, sans-serif"/>
      </rPr>
      <t>https://maps.google.com/?q=26.3580383,49.9641933</t>
    </r>
  </si>
  <si>
    <t>CUS802</t>
  </si>
  <si>
    <t>سوبر ماركت واحة التسوق</t>
  </si>
  <si>
    <t>عبدالسلام</t>
  </si>
  <si>
    <t>26.359035, 49.9665083</t>
  </si>
  <si>
    <r>
      <rPr>
        <u/>
        <sz val="9"/>
        <color rgb="FF1155CC"/>
        <rFont val="Arial, sans-serif"/>
      </rPr>
      <t>https://maps.google.com/?q=26.359035,49.9665083</t>
    </r>
  </si>
  <si>
    <t>CUS803</t>
  </si>
  <si>
    <t>تموينات فولاذ</t>
  </si>
  <si>
    <t>26.36558, 49.9558917</t>
  </si>
  <si>
    <r>
      <rPr>
        <u/>
        <sz val="9"/>
        <color rgb="FF1155CC"/>
        <rFont val="Arial, sans-serif"/>
      </rPr>
      <t>https://maps.google.com/?q=26.36558,49.9558917</t>
    </r>
  </si>
  <si>
    <t>CUS804</t>
  </si>
  <si>
    <t>تموينات نفوذ الخير 4</t>
  </si>
  <si>
    <t>26.3679407, 49.9643483</t>
  </si>
  <si>
    <r>
      <rPr>
        <u/>
        <sz val="9"/>
        <color rgb="FF1155CC"/>
        <rFont val="Arial, sans-serif"/>
      </rPr>
      <t>https://maps.google.com/?q=26.3679407,49.9643483</t>
    </r>
  </si>
  <si>
    <t>CUS805</t>
  </si>
  <si>
    <t>فخر الفرسان</t>
  </si>
  <si>
    <t>26.36047, 49.967005</t>
  </si>
  <si>
    <r>
      <rPr>
        <u/>
        <sz val="9"/>
        <color rgb="FF1155CC"/>
        <rFont val="Arial, sans-serif"/>
      </rPr>
      <t>https://maps.google.com/?q=26.36047,49.967005</t>
    </r>
  </si>
  <si>
    <t>CUS806</t>
  </si>
  <si>
    <t>فود هاوس</t>
  </si>
  <si>
    <t>CUS807</t>
  </si>
  <si>
    <t>تموينات غذائي ستور</t>
  </si>
  <si>
    <t>فتح الله</t>
  </si>
  <si>
    <t>26.36193, 49.9712633</t>
  </si>
  <si>
    <r>
      <rPr>
        <u/>
        <sz val="9"/>
        <color rgb="FF1155CC"/>
        <rFont val="Arial, sans-serif"/>
      </rPr>
      <t>https://maps.google.com/?q=26.36193,49.9712633</t>
    </r>
  </si>
  <si>
    <t>CUS808</t>
  </si>
  <si>
    <t>أسواق جزر البحر</t>
  </si>
  <si>
    <t>محمد سالم</t>
  </si>
  <si>
    <t>26.35793, 49.97202</t>
  </si>
  <si>
    <r>
      <rPr>
        <u/>
        <sz val="9"/>
        <color rgb="FF1155CC"/>
        <rFont val="Arial, sans-serif"/>
      </rPr>
      <t>https://maps.google.com/?q=26.35793,49.97202</t>
    </r>
  </si>
  <si>
    <t>CUS809</t>
  </si>
  <si>
    <t>ريان ماركت</t>
  </si>
  <si>
    <t>26.3570333, 49.9708533</t>
  </si>
  <si>
    <r>
      <rPr>
        <u/>
        <sz val="9"/>
        <color rgb="FF1155CC"/>
        <rFont val="Arial, sans-serif"/>
      </rPr>
      <t>https://maps.google.com/?q=26.3570333,49.9708533</t>
    </r>
  </si>
  <si>
    <t>CUS810</t>
  </si>
  <si>
    <t>مبدا الحياة</t>
  </si>
  <si>
    <t>عبدالله حماده</t>
  </si>
  <si>
    <t>26.3506574, 49.9693056</t>
  </si>
  <si>
    <r>
      <rPr>
        <u/>
        <sz val="9"/>
        <color rgb="FF1155CC"/>
        <rFont val="Arial, sans-serif"/>
      </rPr>
      <t>https://maps.google.com/?q=26.3506574,49.9693056</t>
    </r>
  </si>
  <si>
    <t>CUS811</t>
  </si>
  <si>
    <t>اسواق نجمة الفرسان</t>
  </si>
  <si>
    <t>امجد</t>
  </si>
  <si>
    <t>26.3482132, 49.9701185</t>
  </si>
  <si>
    <r>
      <rPr>
        <u/>
        <sz val="9"/>
        <color rgb="FF1155CC"/>
        <rFont val="Arial, sans-serif"/>
      </rPr>
      <t>https://maps.google.com/?q=26.3482132,49.9701185</t>
    </r>
  </si>
  <si>
    <t>CUS812</t>
  </si>
  <si>
    <t>تموينات خيرات التوت</t>
  </si>
  <si>
    <t>26.3507568, 49.9900649</t>
  </si>
  <si>
    <r>
      <rPr>
        <u/>
        <sz val="9"/>
        <color rgb="FF1155CC"/>
        <rFont val="Arial, sans-serif"/>
      </rPr>
      <t>https://maps.google.com/?q=26.3507568,49.9900649</t>
    </r>
  </si>
  <si>
    <t>CUS813</t>
  </si>
  <si>
    <t>تموينات اطلس لينك</t>
  </si>
  <si>
    <t>26.3613534, 49.9847399</t>
  </si>
  <si>
    <r>
      <rPr>
        <u/>
        <sz val="9"/>
        <color rgb="FF1155CC"/>
        <rFont val="Arial, sans-serif"/>
      </rPr>
      <t>https://maps.google.com/?q=26.3613534,49.9847399</t>
    </r>
  </si>
  <si>
    <t>CUS814</t>
  </si>
  <si>
    <t>26.3572479, 49.9892296</t>
  </si>
  <si>
    <r>
      <rPr>
        <u/>
        <sz val="9"/>
        <color rgb="FF1155CC"/>
        <rFont val="Arial, sans-serif"/>
      </rPr>
      <t>https://maps.google.com/?q=26.3572479,49.9892296</t>
    </r>
  </si>
  <si>
    <t>CUS815</t>
  </si>
  <si>
    <t>تموينات كوثر</t>
  </si>
  <si>
    <t>عباس</t>
  </si>
  <si>
    <t>26.34943, 49.99764</t>
  </si>
  <si>
    <r>
      <rPr>
        <u/>
        <sz val="9"/>
        <color rgb="FF1155CC"/>
        <rFont val="Arial, sans-serif"/>
      </rPr>
      <t>https://maps.google.com/?q=26.34943,49.99764</t>
    </r>
  </si>
  <si>
    <t>CUS816</t>
  </si>
  <si>
    <t>روز مارت</t>
  </si>
  <si>
    <t>حي الضاحية</t>
  </si>
  <si>
    <t>26.3511352, 50.0184564</t>
  </si>
  <si>
    <r>
      <rPr>
        <u/>
        <sz val="9"/>
        <color rgb="FF1155CC"/>
        <rFont val="Arial, sans-serif"/>
      </rPr>
      <t>https://maps.google.com/?q=26.3511352,50.0184564</t>
    </r>
  </si>
  <si>
    <t>CUS817</t>
  </si>
  <si>
    <t>26.3729971, 50.023994</t>
  </si>
  <si>
    <r>
      <rPr>
        <u/>
        <sz val="9"/>
        <color rgb="FF1155CC"/>
        <rFont val="Arial, sans-serif"/>
      </rPr>
      <t>https://maps.google.com/?q=26.3729971,50.023994</t>
    </r>
  </si>
  <si>
    <t>CUS818</t>
  </si>
  <si>
    <t>بقالة سعادة الاجيال</t>
  </si>
  <si>
    <t>هشام العماد</t>
  </si>
  <si>
    <t>26.4093482, 49.9892745</t>
  </si>
  <si>
    <r>
      <rPr>
        <u/>
        <sz val="9"/>
        <color rgb="FF1155CC"/>
        <rFont val="Arial, sans-serif"/>
      </rPr>
      <t>https://maps.google.com/?q=26.4093482,49.9892745</t>
    </r>
  </si>
  <si>
    <t>CUS819</t>
  </si>
  <si>
    <t>تموينات رزق الخليج</t>
  </si>
  <si>
    <t>نادر</t>
  </si>
  <si>
    <t>26.3921872, 49.9897815</t>
  </si>
  <si>
    <r>
      <rPr>
        <u/>
        <sz val="9"/>
        <color rgb="FF1155CC"/>
        <rFont val="Arial, sans-serif"/>
      </rPr>
      <t>https://maps.google.com/?q=26.3921872,49.9897815</t>
    </r>
  </si>
  <si>
    <t>CUS820</t>
  </si>
  <si>
    <t>تموينات عمر</t>
  </si>
  <si>
    <t>عبود</t>
  </si>
  <si>
    <t>26.3929324, 49.9936835</t>
  </si>
  <si>
    <r>
      <rPr>
        <u/>
        <sz val="9"/>
        <color rgb="FF1155CC"/>
        <rFont val="Arial, sans-serif"/>
      </rPr>
      <t>https://maps.google.com/?q=26.3929324,49.9936835</t>
    </r>
  </si>
  <si>
    <t>CUS821</t>
  </si>
  <si>
    <t>اسواق الرف الذهبي</t>
  </si>
  <si>
    <t>26.393649, 49.9938496</t>
  </si>
  <si>
    <r>
      <rPr>
        <u/>
        <sz val="9"/>
        <color rgb="FF1155CC"/>
        <rFont val="Arial, sans-serif"/>
      </rPr>
      <t>https://maps.google.com/?q=26.393649,49.9938496</t>
    </r>
  </si>
  <si>
    <t>CUS822</t>
  </si>
  <si>
    <t>26.3826267, 50.00067</t>
  </si>
  <si>
    <r>
      <rPr>
        <u/>
        <sz val="9"/>
        <color rgb="FF1155CC"/>
        <rFont val="Arial, sans-serif"/>
      </rPr>
      <t>https://maps.google.com/?q=26.3826267,50.00067</t>
    </r>
  </si>
  <si>
    <t>CUS823</t>
  </si>
  <si>
    <t>مخطة أورنج</t>
  </si>
  <si>
    <t>26.3805783, 50.011505</t>
  </si>
  <si>
    <r>
      <rPr>
        <u/>
        <sz val="9"/>
        <color rgb="FF1155CC"/>
        <rFont val="Arial, sans-serif"/>
      </rPr>
      <t>https://maps.google.com/?q=26.3805783,50.011505</t>
    </r>
  </si>
  <si>
    <t>CUS824</t>
  </si>
  <si>
    <t>تاج الخير والعطاء</t>
  </si>
  <si>
    <t>ابو سالم</t>
  </si>
  <si>
    <t>26.40397, 50.0030033</t>
  </si>
  <si>
    <r>
      <rPr>
        <u/>
        <sz val="9"/>
        <color rgb="FF1155CC"/>
        <rFont val="Arial, sans-serif"/>
      </rPr>
      <t>https://maps.google.com/?q=26.40397,50.0030033</t>
    </r>
  </si>
  <si>
    <t>CUS825</t>
  </si>
  <si>
    <t>26.40658, 50.01408</t>
  </si>
  <si>
    <r>
      <rPr>
        <u/>
        <sz val="9"/>
        <color rgb="FF1155CC"/>
        <rFont val="Arial, sans-serif"/>
      </rPr>
      <t>https://maps.google.com/?q=26.40658,50.01408</t>
    </r>
  </si>
  <si>
    <t>CUS826</t>
  </si>
  <si>
    <t>يتم التواصل مع الإدارة</t>
  </si>
  <si>
    <t>26.4438217, 50.004585</t>
  </si>
  <si>
    <r>
      <rPr>
        <u/>
        <sz val="9"/>
        <color rgb="FF1155CC"/>
        <rFont val="Arial, sans-serif"/>
      </rPr>
      <t>https://maps.google.com/?q=26.4438217,50.004585</t>
    </r>
  </si>
  <si>
    <t>CUS827</t>
  </si>
  <si>
    <t>تموينات سلة ريف</t>
  </si>
  <si>
    <t>26.4364483, 50.0055</t>
  </si>
  <si>
    <r>
      <rPr>
        <u/>
        <sz val="9"/>
        <color rgb="FF1155CC"/>
        <rFont val="Arial, sans-serif"/>
      </rPr>
      <t>https://maps.google.com/?q=26.4364483,50.0055</t>
    </r>
  </si>
  <si>
    <t>CUS828</t>
  </si>
  <si>
    <t>هايبر النكهة الاقتصادية</t>
  </si>
  <si>
    <t>علي سودان</t>
  </si>
  <si>
    <t>26.4197333, 49.9969167</t>
  </si>
  <si>
    <r>
      <rPr>
        <u/>
        <sz val="9"/>
        <color rgb="FF1155CC"/>
        <rFont val="Arial, sans-serif"/>
      </rPr>
      <t>https://maps.google.com/?q=26.4197333,49.9969167</t>
    </r>
  </si>
  <si>
    <t>CUS829</t>
  </si>
  <si>
    <t>تموينات وصايف</t>
  </si>
  <si>
    <t>علي الهمداني</t>
  </si>
  <si>
    <t>26.4291095, 49.9995851</t>
  </si>
  <si>
    <r>
      <rPr>
        <u/>
        <sz val="9"/>
        <color rgb="FF1155CC"/>
        <rFont val="Arial, sans-serif"/>
      </rPr>
      <t>https://maps.google.com/?q=26.4291095,49.9995851</t>
    </r>
  </si>
  <si>
    <t>CUS830</t>
  </si>
  <si>
    <t>اسواق شموع المنامه</t>
  </si>
  <si>
    <t>26.4218717, 50.0022783</t>
  </si>
  <si>
    <r>
      <rPr>
        <u/>
        <sz val="9"/>
        <color rgb="FF1155CC"/>
        <rFont val="Arial, sans-serif"/>
      </rPr>
      <t>https://maps.google.com/?q=26.4218717,50.0022783</t>
    </r>
  </si>
  <si>
    <t>CUS831</t>
  </si>
  <si>
    <t>اسواق نجمة العروبة</t>
  </si>
  <si>
    <t>صهيب العواضي</t>
  </si>
  <si>
    <t>26.42125, 50.00432</t>
  </si>
  <si>
    <r>
      <rPr>
        <u/>
        <sz val="9"/>
        <color rgb="FF1155CC"/>
        <rFont val="Arial, sans-serif"/>
      </rPr>
      <t>https://maps.google.com/?q=26.42125,50.00432</t>
    </r>
  </si>
  <si>
    <t>CUS832</t>
  </si>
  <si>
    <t>تموينات ربوع البركة</t>
  </si>
  <si>
    <t>26.4166333, 50.0054133</t>
  </si>
  <si>
    <r>
      <rPr>
        <u/>
        <sz val="9"/>
        <color rgb="FF1155CC"/>
        <rFont val="Arial, sans-serif"/>
      </rPr>
      <t>https://maps.google.com/?q=26.4166333,50.0054133</t>
    </r>
  </si>
  <si>
    <t>CUS833</t>
  </si>
  <si>
    <t>متاجر المستهلك</t>
  </si>
  <si>
    <t>كاشير</t>
  </si>
  <si>
    <t>26.4200783, 50.0037283</t>
  </si>
  <si>
    <r>
      <rPr>
        <u/>
        <sz val="9"/>
        <color rgb="FF1155CC"/>
        <rFont val="Arial, sans-serif"/>
      </rPr>
      <t>https://maps.google.com/?q=26.4200783,50.0037283</t>
    </r>
  </si>
  <si>
    <t>CUS834</t>
  </si>
  <si>
    <t>تموينات توفير الضاحية</t>
  </si>
  <si>
    <t>ابو يوسف</t>
  </si>
  <si>
    <t>26.4169267, 50.0005617</t>
  </si>
  <si>
    <r>
      <rPr>
        <u/>
        <sz val="9"/>
        <color rgb="FF1155CC"/>
        <rFont val="Arial, sans-serif"/>
      </rPr>
      <t>https://maps.google.com/?q=26.4169267,50.0005617</t>
    </r>
  </si>
  <si>
    <t>CUS835</t>
  </si>
  <si>
    <t>اسواق العنود المركزية</t>
  </si>
  <si>
    <t>حسين العامري</t>
  </si>
  <si>
    <t>26.411475, 50.0041817</t>
  </si>
  <si>
    <r>
      <rPr>
        <u/>
        <sz val="9"/>
        <color rgb="FF1155CC"/>
        <rFont val="Arial, sans-serif"/>
      </rPr>
      <t>https://maps.google.com/?q=26.411475,50.0041817</t>
    </r>
  </si>
  <si>
    <t>CUS836</t>
  </si>
  <si>
    <t>تموينات الصيعري</t>
  </si>
  <si>
    <t>نايف العمودي</t>
  </si>
  <si>
    <t>26.4091367, 49.9827383</t>
  </si>
  <si>
    <r>
      <rPr>
        <u/>
        <sz val="9"/>
        <color rgb="FF1155CC"/>
        <rFont val="Arial, sans-serif"/>
      </rPr>
      <t>https://maps.google.com/?q=26.4091367,49.9827383</t>
    </r>
  </si>
  <si>
    <t>CUS837</t>
  </si>
  <si>
    <t>سلات القافلة للتسويق</t>
  </si>
  <si>
    <t>عماد</t>
  </si>
  <si>
    <t>26.4111817, 49.989165</t>
  </si>
  <si>
    <r>
      <rPr>
        <u/>
        <sz val="9"/>
        <color rgb="FF1155CC"/>
        <rFont val="Arial, sans-serif"/>
      </rPr>
      <t>https://maps.google.com/?q=26.4111817,49.989165</t>
    </r>
  </si>
  <si>
    <t>CUS838</t>
  </si>
  <si>
    <t>أسواق قوز</t>
  </si>
  <si>
    <t>26.4115694, 49.9908463</t>
  </si>
  <si>
    <r>
      <rPr>
        <u/>
        <sz val="9"/>
        <color rgb="FF1155CC"/>
        <rFont val="Arial, sans-serif"/>
      </rPr>
      <t>https://maps.google.com/?q=26.4115694,49.9908463</t>
    </r>
  </si>
  <si>
    <t>CUS839</t>
  </si>
  <si>
    <t>بقالة نها الزهراني</t>
  </si>
  <si>
    <t>انور خان</t>
  </si>
  <si>
    <t>26.4244717, 49.9844767</t>
  </si>
  <si>
    <r>
      <rPr>
        <u/>
        <sz val="9"/>
        <color rgb="FF1155CC"/>
        <rFont val="Arial, sans-serif"/>
      </rPr>
      <t>https://maps.google.com/?q=26.4244717,49.9844767</t>
    </r>
  </si>
  <si>
    <t>CUS840</t>
  </si>
  <si>
    <t>تموينات خيرات الضاحية</t>
  </si>
  <si>
    <t>نسيم</t>
  </si>
  <si>
    <t>26.42925, 49.9875583</t>
  </si>
  <si>
    <r>
      <rPr>
        <u/>
        <sz val="9"/>
        <color rgb="FF1155CC"/>
        <rFont val="Arial, sans-serif"/>
      </rPr>
      <t>https://maps.google.com/?q=26.42925,49.9875583</t>
    </r>
  </si>
  <si>
    <t>CUS841</t>
  </si>
  <si>
    <t>تموينات فهد</t>
  </si>
  <si>
    <t>سعيد بكيران</t>
  </si>
  <si>
    <t>26.4327717, 49.9869633</t>
  </si>
  <si>
    <r>
      <rPr>
        <u/>
        <sz val="9"/>
        <color rgb="FF1155CC"/>
        <rFont val="Arial, sans-serif"/>
      </rPr>
      <t>https://maps.google.com/?q=26.4327717,49.9869633</t>
    </r>
  </si>
  <si>
    <t>CUS842</t>
  </si>
  <si>
    <t>اسواق مكان الجميع</t>
  </si>
  <si>
    <t>فهد</t>
  </si>
  <si>
    <t>26.4451817, 50.00152</t>
  </si>
  <si>
    <r>
      <rPr>
        <u/>
        <sz val="9"/>
        <color rgb="FF1155CC"/>
        <rFont val="Arial, sans-serif"/>
      </rPr>
      <t>https://maps.google.com/?q=26.4451817,50.00152</t>
    </r>
  </si>
  <si>
    <t>CUS843</t>
  </si>
  <si>
    <t>تموينات اخر مدى</t>
  </si>
  <si>
    <t>26.4516817, 49.9940583</t>
  </si>
  <si>
    <r>
      <rPr>
        <u/>
        <sz val="9"/>
        <color rgb="FF1155CC"/>
        <rFont val="Arial, sans-serif"/>
      </rPr>
      <t>https://maps.google.com/?q=26.4516817,49.9940583</t>
    </r>
  </si>
  <si>
    <t>CUS844</t>
  </si>
  <si>
    <t>مؤسسة عذق سلمى</t>
  </si>
  <si>
    <t>شهين</t>
  </si>
  <si>
    <t>26.4377317, 49.9776117</t>
  </si>
  <si>
    <r>
      <rPr>
        <u/>
        <sz val="9"/>
        <color rgb="FF1155CC"/>
        <rFont val="Arial, sans-serif"/>
      </rPr>
      <t>https://maps.google.com/?q=26.4377317,49.9776117</t>
    </r>
  </si>
  <si>
    <t>CUS845</t>
  </si>
  <si>
    <t>علا</t>
  </si>
  <si>
    <t>26.4383267, 49.9803272</t>
  </si>
  <si>
    <r>
      <rPr>
        <u/>
        <sz val="9"/>
        <color rgb="FF1155CC"/>
        <rFont val="Arial, sans-serif"/>
      </rPr>
      <t>https://maps.google.com/?q=26.4383267,49.9803272</t>
    </r>
  </si>
  <si>
    <t>CUS846</t>
  </si>
  <si>
    <t>تموينات شمس السعادة</t>
  </si>
  <si>
    <t>شريف</t>
  </si>
  <si>
    <t>26.4389825, 49.9764608</t>
  </si>
  <si>
    <r>
      <rPr>
        <u/>
        <sz val="9"/>
        <color rgb="FF1155CC"/>
        <rFont val="Arial, sans-serif"/>
      </rPr>
      <t>https://maps.google.com/?q=26.4389825,49.9764608</t>
    </r>
  </si>
  <si>
    <t>CUS847</t>
  </si>
  <si>
    <t>تموينات سهل الخيرات</t>
  </si>
  <si>
    <t>26.4410217, 49.9869267</t>
  </si>
  <si>
    <r>
      <rPr>
        <u/>
        <sz val="9"/>
        <color rgb="FF1155CC"/>
        <rFont val="Arial, sans-serif"/>
      </rPr>
      <t>https://maps.google.com/?q=26.4410217,49.9869267</t>
    </r>
  </si>
  <si>
    <t>CUS848</t>
  </si>
  <si>
    <t>تموينات عربة زاد</t>
  </si>
  <si>
    <t>26.4477063, 49.9750768</t>
  </si>
  <si>
    <r>
      <rPr>
        <u/>
        <sz val="9"/>
        <color rgb="FF1155CC"/>
        <rFont val="Arial, sans-serif"/>
      </rPr>
      <t>https://maps.google.com/?q=26.4477063,49.9750768</t>
    </r>
  </si>
  <si>
    <t>CUS849</t>
  </si>
  <si>
    <t>الخامس التاسع (بقالة سكينة)حي الضاحية</t>
  </si>
  <si>
    <t>مؤيد</t>
  </si>
  <si>
    <t>26.4613566, 49.9837639</t>
  </si>
  <si>
    <r>
      <rPr>
        <u/>
        <sz val="9"/>
        <color rgb="FF1155CC"/>
        <rFont val="Arial, sans-serif"/>
      </rPr>
      <t>https://maps.google.com/?q=26.4613566,49.9837639</t>
    </r>
  </si>
  <si>
    <t>CUS850</t>
  </si>
  <si>
    <t>أسواق ومخابز اوول مارت</t>
  </si>
  <si>
    <t>عايض</t>
  </si>
  <si>
    <t>26.4570696, 50.0003048</t>
  </si>
  <si>
    <r>
      <rPr>
        <u/>
        <sz val="9"/>
        <color rgb="FF1155CC"/>
        <rFont val="Arial, sans-serif"/>
      </rPr>
      <t>https://maps.google.com/?q=26.4570696,50.0003048</t>
    </r>
  </si>
  <si>
    <t>CUS851</t>
  </si>
  <si>
    <t>أسواق أوول مارت</t>
  </si>
  <si>
    <t>قيس</t>
  </si>
  <si>
    <t>26.456815, 50.0021833</t>
  </si>
  <si>
    <r>
      <rPr>
        <u/>
        <sz val="9"/>
        <color rgb="FF1155CC"/>
        <rFont val="Arial, sans-serif"/>
      </rPr>
      <t>https://maps.google.com/?q=26.456815,50.0021833</t>
    </r>
  </si>
  <si>
    <t>CUS852</t>
  </si>
  <si>
    <t>وفاء الغد</t>
  </si>
  <si>
    <t>26.4784128, 50.0033417</t>
  </si>
  <si>
    <r>
      <rPr>
        <u/>
        <sz val="9"/>
        <color rgb="FF1155CC"/>
        <rFont val="Arial, sans-serif"/>
      </rPr>
      <t>https://maps.google.com/?q=26.4784128,50.0033417</t>
    </r>
  </si>
  <si>
    <t>CUS853</t>
  </si>
  <si>
    <t>رامي</t>
  </si>
  <si>
    <t>26.4718433, 50.00477</t>
  </si>
  <si>
    <r>
      <rPr>
        <u/>
        <sz val="9"/>
        <color rgb="FF1155CC"/>
        <rFont val="Arial, sans-serif"/>
      </rPr>
      <t>https://maps.google.com/?q=26.4718433,50.00477</t>
    </r>
  </si>
  <si>
    <t>CUS854</t>
  </si>
  <si>
    <t>مؤسسة سلطان بن محمد بن خليف</t>
  </si>
  <si>
    <t>26.4745281, 50.0080145</t>
  </si>
  <si>
    <r>
      <rPr>
        <u/>
        <sz val="9"/>
        <color rgb="FF1155CC"/>
        <rFont val="Arial, sans-serif"/>
      </rPr>
      <t>https://maps.google.com/?q=26.4745281,50.0080145</t>
    </r>
  </si>
  <si>
    <t>CUS855</t>
  </si>
  <si>
    <t>تموينات انوار البادية</t>
  </si>
  <si>
    <t>26.4745959, 50.0080213</t>
  </si>
  <si>
    <r>
      <rPr>
        <u/>
        <sz val="9"/>
        <color rgb="FF1155CC"/>
        <rFont val="Arial, sans-serif"/>
      </rPr>
      <t>https://maps.google.com/?q=26.4745959,50.0080213</t>
    </r>
  </si>
  <si>
    <t>#ERROR!</t>
  </si>
  <si>
    <t xml:space="preserve">الدمام </t>
  </si>
  <si>
    <t xml:space="preserve">القطيف </t>
  </si>
  <si>
    <t xml:space="preserve">رأس تنورة </t>
  </si>
  <si>
    <t>سيهات</t>
  </si>
  <si>
    <t>الدمام</t>
  </si>
  <si>
    <t xml:space="preserve">طريق أبو حدرية </t>
  </si>
  <si>
    <t>Dammam</t>
  </si>
  <si>
    <t>Jubail Industrial City</t>
  </si>
  <si>
    <t>Jubail City</t>
  </si>
  <si>
    <t>Qatif</t>
  </si>
  <si>
    <t>Ras Tanura</t>
  </si>
  <si>
    <t>Saihat</t>
  </si>
  <si>
    <t>Al-Khobar city</t>
  </si>
  <si>
    <t xml:space="preserve">المنطقة </t>
  </si>
  <si>
    <t>City</t>
  </si>
  <si>
    <t>حي الفناتير</t>
  </si>
  <si>
    <t>حي جلموده</t>
  </si>
  <si>
    <t>حي الفاروق</t>
  </si>
  <si>
    <t>شركة نرجس محطة بترولي</t>
  </si>
  <si>
    <t>حي الفردوس</t>
  </si>
  <si>
    <t>حي المطرفيه</t>
  </si>
  <si>
    <t>حي الخليج</t>
  </si>
  <si>
    <t>تموينات نسيم الجبيل</t>
  </si>
  <si>
    <t>حي اليرموك</t>
  </si>
  <si>
    <t>مؤسسة اسواق الجبيل</t>
  </si>
  <si>
    <t xml:space="preserve">تموينات نجوم درة السماء </t>
  </si>
  <si>
    <t>طريق الجبيل الظهران</t>
  </si>
  <si>
    <t xml:space="preserve">اسواق سبل المسافر المركزية </t>
  </si>
  <si>
    <t xml:space="preserve">ياس ماركت </t>
  </si>
  <si>
    <t>نواف</t>
  </si>
  <si>
    <t>حي الروضه</t>
  </si>
  <si>
    <t>حي الحمراء</t>
  </si>
  <si>
    <t>حي اشبيليه</t>
  </si>
  <si>
    <t>لاين ماركت</t>
  </si>
  <si>
    <t>شركة مروج فود</t>
  </si>
  <si>
    <t>حي النابيه</t>
  </si>
  <si>
    <t>شركة الشرق الأوسط العالميه</t>
  </si>
  <si>
    <t>مؤسسة روز الجبيل</t>
  </si>
  <si>
    <t>تموينات دوار الحزم</t>
  </si>
  <si>
    <t>حي الحزم</t>
  </si>
  <si>
    <t>حي صفوى</t>
  </si>
  <si>
    <t>حي الجش</t>
  </si>
  <si>
    <t>حي ام الساهك</t>
  </si>
  <si>
    <t>حي الزهور</t>
  </si>
  <si>
    <t>حي النرجس</t>
  </si>
  <si>
    <t>حي العواميه</t>
  </si>
  <si>
    <t>حي القديح</t>
  </si>
  <si>
    <t xml:space="preserve">حي القديح </t>
  </si>
  <si>
    <t>زاد ساجده</t>
  </si>
  <si>
    <t>حي البحاري</t>
  </si>
  <si>
    <t>حي الناصرة</t>
  </si>
  <si>
    <t>حي تاروت</t>
  </si>
  <si>
    <t>حي الاسكان</t>
  </si>
  <si>
    <t>حي الامواج</t>
  </si>
  <si>
    <t>حي البديع</t>
  </si>
  <si>
    <t>حي البحيره</t>
  </si>
  <si>
    <t>حي البساتين</t>
  </si>
  <si>
    <t>حي الثقبه</t>
  </si>
  <si>
    <t>حي دارين</t>
  </si>
  <si>
    <t xml:space="preserve">حي الفناتير </t>
  </si>
  <si>
    <t>حي الجامعيين</t>
  </si>
  <si>
    <t>حي الجسر</t>
  </si>
  <si>
    <t>حي الخزامي</t>
  </si>
  <si>
    <t>حي الرجاء</t>
  </si>
  <si>
    <t>حي الزمرد</t>
  </si>
  <si>
    <t>حي الربيعية</t>
  </si>
  <si>
    <t>حي المجيدية</t>
  </si>
  <si>
    <t>حي النورس</t>
  </si>
  <si>
    <t>حي الجلويه</t>
  </si>
  <si>
    <t>حي الكوثر</t>
  </si>
  <si>
    <t>حي السلام</t>
  </si>
  <si>
    <t>حي غرناطه</t>
  </si>
  <si>
    <t>حي المحمدية</t>
  </si>
  <si>
    <t>حي القادسية</t>
  </si>
  <si>
    <t>حي العنود</t>
  </si>
  <si>
    <t>حي الشاطئ</t>
  </si>
  <si>
    <t>حي السيف</t>
  </si>
  <si>
    <t>حي المزروعية</t>
  </si>
  <si>
    <t>حي الناصرية</t>
  </si>
  <si>
    <t>حي عبدالله فؤاد</t>
  </si>
  <si>
    <t>حي المنتزه</t>
  </si>
  <si>
    <t>حي النزهة</t>
  </si>
  <si>
    <t>حي المريكبات</t>
  </si>
  <si>
    <t>شركة زاد غرناطه</t>
  </si>
  <si>
    <t>مركز واحة مرحبا</t>
  </si>
  <si>
    <t>شركة نرجس الغذائيه</t>
  </si>
  <si>
    <t>نخلة الدوحه</t>
  </si>
  <si>
    <t>كواكب للمواد الغذائيه</t>
  </si>
  <si>
    <t>تموينات حنين الشرقيه</t>
  </si>
  <si>
    <t>حي الروابي</t>
  </si>
  <si>
    <t xml:space="preserve">أسواق خليج دلتا </t>
  </si>
  <si>
    <t xml:space="preserve">حي العدامه </t>
  </si>
  <si>
    <t>فلك البدر</t>
  </si>
  <si>
    <t>حي الجوهره</t>
  </si>
  <si>
    <t>حي القصور</t>
  </si>
  <si>
    <t xml:space="preserve">حي أجيال </t>
  </si>
  <si>
    <t xml:space="preserve"> شركة ارض العرب</t>
  </si>
  <si>
    <t>المدينه الصناعيه</t>
  </si>
  <si>
    <t>حي الملك فهد</t>
  </si>
  <si>
    <t>حي الامل</t>
  </si>
  <si>
    <t>AD ماركت</t>
  </si>
  <si>
    <t>نوره مارت</t>
  </si>
  <si>
    <t>حي العزيزية</t>
  </si>
  <si>
    <t>حي الطبيشي</t>
  </si>
  <si>
    <t>حي الشراع</t>
  </si>
  <si>
    <t>حي العقيق</t>
  </si>
  <si>
    <t>حي الصواري</t>
  </si>
  <si>
    <t>تموينات النجمه</t>
  </si>
  <si>
    <t>تموينات واحة العليا للمواد الغذائيه</t>
  </si>
  <si>
    <t>حي العليا</t>
  </si>
  <si>
    <t>بقالة منتهى محمد</t>
  </si>
  <si>
    <t xml:space="preserve">حي الدانه </t>
  </si>
  <si>
    <t>حي الغدير</t>
  </si>
  <si>
    <t>حي الخبر الجنوبيه</t>
  </si>
  <si>
    <t>لؤلؤ فود للمواد الغذائيه</t>
  </si>
  <si>
    <t>بقالة حي النور</t>
  </si>
  <si>
    <t>حاجات البيت</t>
  </si>
  <si>
    <t xml:space="preserve">زد ماركت </t>
  </si>
  <si>
    <t xml:space="preserve">قيم البركة </t>
  </si>
  <si>
    <t xml:space="preserve">الجبيل </t>
  </si>
  <si>
    <t>حي الدوحه</t>
  </si>
  <si>
    <t>الديره</t>
  </si>
  <si>
    <t>حي التحليه</t>
  </si>
  <si>
    <t>حي الخالديه</t>
  </si>
  <si>
    <t>حي الخامسه</t>
  </si>
  <si>
    <t>حي الراكه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</si>
</sst>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sz val="11"/>
      <color rgb="FF000000"/>
      <name val="Arial"/>
    </font>
    <font>
      <b/>
      <sz val="12"/>
      <color rgb="FFFFFFFF"/>
      <name val="Arial"/>
    </font>
    <font>
      <b/>
      <sz val="8"/>
      <color rgb="FFFFFFFF"/>
      <name val="Arial"/>
    </font>
    <font>
      <b/>
      <sz val="9"/>
      <color rgb="FFFFFFFF"/>
      <name val="Arial"/>
    </font>
    <font>
      <sz val="10"/>
      <color theme="1"/>
      <name val="Arial"/>
    </font>
    <font>
      <sz val="8"/>
      <color theme="1"/>
      <name val="Arial"/>
    </font>
    <font>
      <u/>
      <sz val="11"/>
      <color rgb="FF0000FF"/>
      <name val="Arial"/>
    </font>
    <font>
      <u/>
      <sz val="9"/>
      <color rgb="FF1565C0"/>
      <name val="Arial"/>
    </font>
    <font>
      <u/>
      <sz val="9"/>
      <color rgb="FF1565C0"/>
      <name val="Arial"/>
    </font>
    <font>
      <u/>
      <sz val="9"/>
      <color rgb="FF0000FF"/>
      <name val="Arial"/>
    </font>
    <font>
      <sz val="9"/>
      <color theme="1"/>
      <name val="Arial"/>
    </font>
    <font>
      <sz val="8"/>
      <color rgb="FF000000"/>
      <name val="Arial"/>
    </font>
    <font>
      <sz val="9"/>
      <color rgb="FF000000"/>
      <name val="Arial"/>
    </font>
    <font>
      <sz val="18"/>
      <color rgb="FF5E5E5E"/>
      <name val="Arial"/>
    </font>
    <font>
      <u/>
      <sz val="11"/>
      <color rgb="FF1155CC"/>
      <name val="Arial, sans-serif"/>
    </font>
    <font>
      <u/>
      <sz val="9"/>
      <color rgb="FF1155CC"/>
      <name val="Arial, sans-serif"/>
    </font>
    <font>
      <b/>
      <sz val="12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D47A1"/>
        <bgColor rgb="FF0D47A1"/>
      </patternFill>
    </fill>
    <fill>
      <patternFill patternType="solid">
        <fgColor rgb="FFE3F2FD"/>
        <bgColor rgb="FFE3F2FD"/>
      </patternFill>
    </fill>
    <fill>
      <patternFill patternType="solid">
        <fgColor rgb="FFFFFFFF"/>
        <bgColor rgb="FFFFFFFF"/>
      </patternFill>
    </fill>
    <fill>
      <patternFill patternType="solid">
        <fgColor rgb="FFE3F2FD"/>
        <bgColor indexed="64"/>
      </patternFill>
    </fill>
  </fills>
  <borders count="4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right"/>
    </xf>
    <xf numFmtId="0" fontId="5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right"/>
    </xf>
    <xf numFmtId="0" fontId="17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wrapText="1" readingOrder="2"/>
    </xf>
    <xf numFmtId="0" fontId="19" fillId="0" borderId="3" xfId="0" applyFont="1" applyBorder="1" applyAlignment="1">
      <alignment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aps.google.com/?q=26.6678356,49.7938264" TargetMode="External"/><Relationship Id="rId671" Type="http://schemas.openxmlformats.org/officeDocument/2006/relationships/hyperlink" Target="https://maps.google.com/?q=26.2882633,50.18557" TargetMode="External"/><Relationship Id="rId769" Type="http://schemas.openxmlformats.org/officeDocument/2006/relationships/hyperlink" Target="https://maps.google.com/?q=26.3653875,50.0612925" TargetMode="External"/><Relationship Id="rId21" Type="http://schemas.openxmlformats.org/officeDocument/2006/relationships/hyperlink" Target="https://maps.google.com/?q=26.362247467041016,50.03511047363281" TargetMode="External"/><Relationship Id="rId324" Type="http://schemas.openxmlformats.org/officeDocument/2006/relationships/hyperlink" Target="https://maps.google.com/?q=26.5774867,50.0841217" TargetMode="External"/><Relationship Id="rId531" Type="http://schemas.openxmlformats.org/officeDocument/2006/relationships/hyperlink" Target="https://maps.google.com/?q=26.375753,50.1243082" TargetMode="External"/><Relationship Id="rId629" Type="http://schemas.openxmlformats.org/officeDocument/2006/relationships/hyperlink" Target="https://maps.google.com/?q=26.189745,50.1631967" TargetMode="External"/><Relationship Id="rId170" Type="http://schemas.openxmlformats.org/officeDocument/2006/relationships/hyperlink" Target="https://maps.google.com/?q=26.9683466,49.6396521" TargetMode="External"/><Relationship Id="rId836" Type="http://schemas.openxmlformats.org/officeDocument/2006/relationships/hyperlink" Target="https://maps.google.com/?q=26.4451817,50.00152" TargetMode="External"/><Relationship Id="rId268" Type="http://schemas.openxmlformats.org/officeDocument/2006/relationships/hyperlink" Target="https://maps.google.com/?q=26.7117921,50.0646026" TargetMode="External"/><Relationship Id="rId475" Type="http://schemas.openxmlformats.org/officeDocument/2006/relationships/hyperlink" Target="https://maps.google.com/?q=26.3788518,50.1963424" TargetMode="External"/><Relationship Id="rId682" Type="http://schemas.openxmlformats.org/officeDocument/2006/relationships/hyperlink" Target="https://maps.google.com/?q=26.2960726,50.190666" TargetMode="External"/><Relationship Id="rId32" Type="http://schemas.openxmlformats.org/officeDocument/2006/relationships/hyperlink" Target="https://maps.google.com/?q=26.3769474029541,50.0466423034668" TargetMode="External"/><Relationship Id="rId128" Type="http://schemas.openxmlformats.org/officeDocument/2006/relationships/hyperlink" Target="https://maps.google.com/?q=27.157649,49.5468557" TargetMode="External"/><Relationship Id="rId335" Type="http://schemas.openxmlformats.org/officeDocument/2006/relationships/hyperlink" Target="https://maps.google.com/?q=26.56945,50.0457133" TargetMode="External"/><Relationship Id="rId542" Type="http://schemas.openxmlformats.org/officeDocument/2006/relationships/hyperlink" Target="https://maps.google.com/?q=26.4073067,50.108095" TargetMode="External"/><Relationship Id="rId181" Type="http://schemas.openxmlformats.org/officeDocument/2006/relationships/hyperlink" Target="https://maps.google.com/?q=26.8770388,49.7488234" TargetMode="External"/><Relationship Id="rId402" Type="http://schemas.openxmlformats.org/officeDocument/2006/relationships/hyperlink" Target="https://maps.google.com/?q=26.4186887,50.0841571" TargetMode="External"/><Relationship Id="rId847" Type="http://schemas.openxmlformats.org/officeDocument/2006/relationships/hyperlink" Target="https://maps.google.com/?q=26.4718433,50.00477" TargetMode="External"/><Relationship Id="rId279" Type="http://schemas.openxmlformats.org/officeDocument/2006/relationships/hyperlink" Target="https://maps.google.com/?q=26.5893323,50.009957" TargetMode="External"/><Relationship Id="rId486" Type="http://schemas.openxmlformats.org/officeDocument/2006/relationships/hyperlink" Target="https://maps.google.com/?q=26.365695,50.204065" TargetMode="External"/><Relationship Id="rId693" Type="http://schemas.openxmlformats.org/officeDocument/2006/relationships/hyperlink" Target="https://maps.google.com/?q=26.334455,50.200395" TargetMode="External"/><Relationship Id="rId707" Type="http://schemas.openxmlformats.org/officeDocument/2006/relationships/hyperlink" Target="https://maps.google.com/?q=26.3272539,50.167572" TargetMode="External"/><Relationship Id="rId43" Type="http://schemas.openxmlformats.org/officeDocument/2006/relationships/hyperlink" Target="https://maps.google.com/?q=26.427570343017578,50.0234260559082" TargetMode="External"/><Relationship Id="rId139" Type="http://schemas.openxmlformats.org/officeDocument/2006/relationships/hyperlink" Target="https://maps.google.com/?q=26.8348234,49.5623904" TargetMode="External"/><Relationship Id="rId346" Type="http://schemas.openxmlformats.org/officeDocument/2006/relationships/hyperlink" Target="https://maps.google.com/?q=26.5626517,50.0145417" TargetMode="External"/><Relationship Id="rId553" Type="http://schemas.openxmlformats.org/officeDocument/2006/relationships/hyperlink" Target="https://maps.google.com/?q=26.4230557,50.0946328" TargetMode="External"/><Relationship Id="rId760" Type="http://schemas.openxmlformats.org/officeDocument/2006/relationships/hyperlink" Target="https://maps.google.com/?q=26.3542221,50.0424709" TargetMode="External"/><Relationship Id="rId192" Type="http://schemas.openxmlformats.org/officeDocument/2006/relationships/hyperlink" Target="https://maps.google.com/?q=26.9802217,49.66574" TargetMode="External"/><Relationship Id="rId206" Type="http://schemas.openxmlformats.org/officeDocument/2006/relationships/hyperlink" Target="https://maps.google.com/?q=26.8542179,49.7863831" TargetMode="External"/><Relationship Id="rId413" Type="http://schemas.openxmlformats.org/officeDocument/2006/relationships/hyperlink" Target="https://maps.google.com/?q=26.4358833,50.071335" TargetMode="External"/><Relationship Id="rId497" Type="http://schemas.openxmlformats.org/officeDocument/2006/relationships/hyperlink" Target="https://maps.google.com/?q=26.365097,50.2019488" TargetMode="External"/><Relationship Id="rId620" Type="http://schemas.openxmlformats.org/officeDocument/2006/relationships/hyperlink" Target="https://maps.google.com/?q=26.1761517,50.1431333" TargetMode="External"/><Relationship Id="rId718" Type="http://schemas.openxmlformats.org/officeDocument/2006/relationships/hyperlink" Target="https://maps.google.com/?q=26.3466444,50.1359941" TargetMode="External"/><Relationship Id="rId357" Type="http://schemas.openxmlformats.org/officeDocument/2006/relationships/hyperlink" Target="https://maps.google.com/?q=26.4633717,50.0669333" TargetMode="External"/><Relationship Id="rId54" Type="http://schemas.openxmlformats.org/officeDocument/2006/relationships/hyperlink" Target="https://maps.google.com/?q=26.434051513671875,50.02613830566406" TargetMode="External"/><Relationship Id="rId217" Type="http://schemas.openxmlformats.org/officeDocument/2006/relationships/hyperlink" Target="https://maps.google.com/?q=26.6392917,49.908275" TargetMode="External"/><Relationship Id="rId564" Type="http://schemas.openxmlformats.org/officeDocument/2006/relationships/hyperlink" Target="https://maps.google.com/?q=26.395854,50.0891135" TargetMode="External"/><Relationship Id="rId771" Type="http://schemas.openxmlformats.org/officeDocument/2006/relationships/hyperlink" Target="https://maps.google.com/?q=26.3707,50.0608733" TargetMode="External"/><Relationship Id="rId424" Type="http://schemas.openxmlformats.org/officeDocument/2006/relationships/hyperlink" Target="https://maps.google.com/?q=26.4613644,50.0743801" TargetMode="External"/><Relationship Id="rId631" Type="http://schemas.openxmlformats.org/officeDocument/2006/relationships/hyperlink" Target="https://maps.google.com/?q=26.1855907,50.1845806" TargetMode="External"/><Relationship Id="rId729" Type="http://schemas.openxmlformats.org/officeDocument/2006/relationships/hyperlink" Target="https://maps.google.com/?q=26.3546122,50.0767922" TargetMode="External"/><Relationship Id="rId270" Type="http://schemas.openxmlformats.org/officeDocument/2006/relationships/hyperlink" Target="https://maps.google.com/?q=26.705215,50.0699517" TargetMode="External"/><Relationship Id="rId65" Type="http://schemas.openxmlformats.org/officeDocument/2006/relationships/hyperlink" Target="https://maps.google.com/?q=26.438154220581055,50.03923797607422" TargetMode="External"/><Relationship Id="rId130" Type="http://schemas.openxmlformats.org/officeDocument/2006/relationships/hyperlink" Target="https://maps.google.com/?q=27.1631631,49.5433009" TargetMode="External"/><Relationship Id="rId368" Type="http://schemas.openxmlformats.org/officeDocument/2006/relationships/hyperlink" Target="https://maps.google.com/?q=26.4967389,50.0357291" TargetMode="External"/><Relationship Id="rId575" Type="http://schemas.openxmlformats.org/officeDocument/2006/relationships/hyperlink" Target="https://maps.google.com/?q=26.4119467,50.0777967" TargetMode="External"/><Relationship Id="rId782" Type="http://schemas.openxmlformats.org/officeDocument/2006/relationships/hyperlink" Target="https://maps.google.com/?q=26.3706809,50.0825942" TargetMode="External"/><Relationship Id="rId228" Type="http://schemas.openxmlformats.org/officeDocument/2006/relationships/hyperlink" Target="https://maps.google.com/?q=26.6504267,49.955585" TargetMode="External"/><Relationship Id="rId435" Type="http://schemas.openxmlformats.org/officeDocument/2006/relationships/hyperlink" Target="https://maps.google.com/?q=26.4623667,50.0923883" TargetMode="External"/><Relationship Id="rId642" Type="http://schemas.openxmlformats.org/officeDocument/2006/relationships/hyperlink" Target="https://maps.google.com/?q=26.208975,50.18395" TargetMode="External"/><Relationship Id="rId281" Type="http://schemas.openxmlformats.org/officeDocument/2006/relationships/hyperlink" Target="https://maps.google.com/?q=26.583585,50.0114583" TargetMode="External"/><Relationship Id="rId502" Type="http://schemas.openxmlformats.org/officeDocument/2006/relationships/hyperlink" Target="https://maps.google.com/?q=26.4764773,50.1184975" TargetMode="External"/><Relationship Id="rId76" Type="http://schemas.openxmlformats.org/officeDocument/2006/relationships/hyperlink" Target="https://maps.google.com/?q=26.4118709564209,50.033348083496094" TargetMode="External"/><Relationship Id="rId141" Type="http://schemas.openxmlformats.org/officeDocument/2006/relationships/hyperlink" Target="https://maps.google.com/?q=26.672056,49.792837" TargetMode="External"/><Relationship Id="rId379" Type="http://schemas.openxmlformats.org/officeDocument/2006/relationships/hyperlink" Target="https://maps.google.com/?q=26.4766033,50.0404167" TargetMode="External"/><Relationship Id="rId586" Type="http://schemas.openxmlformats.org/officeDocument/2006/relationships/hyperlink" Target="https://maps.google.com/?q=26.2095002,50.2007745" TargetMode="External"/><Relationship Id="rId793" Type="http://schemas.openxmlformats.org/officeDocument/2006/relationships/hyperlink" Target="https://maps.google.com/?q=26.3298433,49.9933633" TargetMode="External"/><Relationship Id="rId807" Type="http://schemas.openxmlformats.org/officeDocument/2006/relationships/hyperlink" Target="https://maps.google.com/?q=26.3613534,49.9847399" TargetMode="External"/><Relationship Id="rId7" Type="http://schemas.openxmlformats.org/officeDocument/2006/relationships/hyperlink" Target="https://maps.google.com/?q=26.383262634277344,50.07334518432617" TargetMode="External"/><Relationship Id="rId239" Type="http://schemas.openxmlformats.org/officeDocument/2006/relationships/hyperlink" Target="https://maps.google.com/?q=26.6499733,49.9611233" TargetMode="External"/><Relationship Id="rId446" Type="http://schemas.openxmlformats.org/officeDocument/2006/relationships/hyperlink" Target="https://maps.google.com/?q=26.4541917,50.0889333" TargetMode="External"/><Relationship Id="rId653" Type="http://schemas.openxmlformats.org/officeDocument/2006/relationships/hyperlink" Target="https://maps.google.com/?q=26.2350795,50.2132507" TargetMode="External"/><Relationship Id="rId292" Type="http://schemas.openxmlformats.org/officeDocument/2006/relationships/hyperlink" Target="https://maps.google.com/?q=26.562865,50.000225" TargetMode="External"/><Relationship Id="rId306" Type="http://schemas.openxmlformats.org/officeDocument/2006/relationships/hyperlink" Target="https://maps.google.com/?q=26.576915,50.0244417" TargetMode="External"/><Relationship Id="rId87" Type="http://schemas.openxmlformats.org/officeDocument/2006/relationships/hyperlink" Target="https://maps.google.com/?q=26.420635223388672,50.04792022705078" TargetMode="External"/><Relationship Id="rId513" Type="http://schemas.openxmlformats.org/officeDocument/2006/relationships/hyperlink" Target="https://maps.google.com/?q=26.44896,50.119075" TargetMode="External"/><Relationship Id="rId597" Type="http://schemas.openxmlformats.org/officeDocument/2006/relationships/hyperlink" Target="https://maps.google.com/?q=26.1236683,50.1451983" TargetMode="External"/><Relationship Id="rId720" Type="http://schemas.openxmlformats.org/officeDocument/2006/relationships/hyperlink" Target="https://maps.google.com/?q=26.3727096,50.1232781" TargetMode="External"/><Relationship Id="rId818" Type="http://schemas.openxmlformats.org/officeDocument/2006/relationships/hyperlink" Target="https://maps.google.com/?q=26.40397,50.0030033" TargetMode="External"/><Relationship Id="rId152" Type="http://schemas.openxmlformats.org/officeDocument/2006/relationships/hyperlink" Target="https://maps.google.com/?q=27.0852319,49.5117539" TargetMode="External"/><Relationship Id="rId457" Type="http://schemas.openxmlformats.org/officeDocument/2006/relationships/hyperlink" Target="https://maps.google.com/?q=26.4518783,50.1056296" TargetMode="External"/><Relationship Id="rId664" Type="http://schemas.openxmlformats.org/officeDocument/2006/relationships/hyperlink" Target="https://maps.google.com/?q=26.30348,50.1735533" TargetMode="External"/><Relationship Id="rId14" Type="http://schemas.openxmlformats.org/officeDocument/2006/relationships/hyperlink" Target="https://maps.google.com/?q=26.37562370300293,50.045387268066406" TargetMode="External"/><Relationship Id="rId317" Type="http://schemas.openxmlformats.org/officeDocument/2006/relationships/hyperlink" Target="https://maps.google.com/?q=26.583474,50.0514966" TargetMode="External"/><Relationship Id="rId524" Type="http://schemas.openxmlformats.org/officeDocument/2006/relationships/hyperlink" Target="https://maps.google.com/?q=26.4310133,50.1103833" TargetMode="External"/><Relationship Id="rId731" Type="http://schemas.openxmlformats.org/officeDocument/2006/relationships/hyperlink" Target="https://maps.google.com/?q=26.358515,50.0746067" TargetMode="External"/><Relationship Id="rId98" Type="http://schemas.openxmlformats.org/officeDocument/2006/relationships/hyperlink" Target="https://maps.google.com/?q=26.393831253051758,50.026885986328125" TargetMode="External"/><Relationship Id="rId163" Type="http://schemas.openxmlformats.org/officeDocument/2006/relationships/hyperlink" Target="https://maps.google.com/?q=27.1214834,49.5528238" TargetMode="External"/><Relationship Id="rId370" Type="http://schemas.openxmlformats.org/officeDocument/2006/relationships/hyperlink" Target="https://maps.google.com/?q=26.4934083,50.0361183" TargetMode="External"/><Relationship Id="rId829" Type="http://schemas.openxmlformats.org/officeDocument/2006/relationships/hyperlink" Target="https://maps.google.com/?q=26.411475,50.0041817" TargetMode="External"/><Relationship Id="rId230" Type="http://schemas.openxmlformats.org/officeDocument/2006/relationships/hyperlink" Target="https://maps.google.com/?q=26.6518753,49.9483444" TargetMode="External"/><Relationship Id="rId468" Type="http://schemas.openxmlformats.org/officeDocument/2006/relationships/hyperlink" Target="https://maps.google.com/?q=26.4110217,50.1775917" TargetMode="External"/><Relationship Id="rId675" Type="http://schemas.openxmlformats.org/officeDocument/2006/relationships/hyperlink" Target="https://maps.google.com/?q=26.2882083,50.1964233" TargetMode="External"/><Relationship Id="rId25" Type="http://schemas.openxmlformats.org/officeDocument/2006/relationships/hyperlink" Target="https://maps.google.com/?q=26.372892379760742,50.03182601928711" TargetMode="External"/><Relationship Id="rId328" Type="http://schemas.openxmlformats.org/officeDocument/2006/relationships/hyperlink" Target="https://maps.google.com/?q=26.566245,50.0842067" TargetMode="External"/><Relationship Id="rId535" Type="http://schemas.openxmlformats.org/officeDocument/2006/relationships/hyperlink" Target="https://maps.google.com/?q=26.390135,50.1127467" TargetMode="External"/><Relationship Id="rId742" Type="http://schemas.openxmlformats.org/officeDocument/2006/relationships/hyperlink" Target="https://maps.google.com/?q=26.3570983,50.0681017" TargetMode="External"/><Relationship Id="rId174" Type="http://schemas.openxmlformats.org/officeDocument/2006/relationships/hyperlink" Target="https://maps.google.com/?q=27.0234233,49.633605" TargetMode="External"/><Relationship Id="rId381" Type="http://schemas.openxmlformats.org/officeDocument/2006/relationships/hyperlink" Target="https://maps.google.com/?q=26.4741783,50.0432567" TargetMode="External"/><Relationship Id="rId602" Type="http://schemas.openxmlformats.org/officeDocument/2006/relationships/hyperlink" Target="https://maps.google.com/?q=26.1586367,50.11381" TargetMode="External"/><Relationship Id="rId241" Type="http://schemas.openxmlformats.org/officeDocument/2006/relationships/hyperlink" Target="https://maps.google.com/?q=26.6457483,49.96503" TargetMode="External"/><Relationship Id="rId479" Type="http://schemas.openxmlformats.org/officeDocument/2006/relationships/hyperlink" Target="https://maps.google.com/?q=26.3207283,50.2118967" TargetMode="External"/><Relationship Id="rId686" Type="http://schemas.openxmlformats.org/officeDocument/2006/relationships/hyperlink" Target="https://maps.google.com/?q=26.2997888,50.1983716" TargetMode="External"/><Relationship Id="rId36" Type="http://schemas.openxmlformats.org/officeDocument/2006/relationships/hyperlink" Target="https://maps.google.com/?q=26.380844116210938,50.052310943603516" TargetMode="External"/><Relationship Id="rId339" Type="http://schemas.openxmlformats.org/officeDocument/2006/relationships/hyperlink" Target="https://maps.google.com/?q=26.5686367,50.0467283" TargetMode="External"/><Relationship Id="rId546" Type="http://schemas.openxmlformats.org/officeDocument/2006/relationships/hyperlink" Target="https://maps.google.com/?q=26.4220083,50.111575" TargetMode="External"/><Relationship Id="rId753" Type="http://schemas.openxmlformats.org/officeDocument/2006/relationships/hyperlink" Target="https://maps.google.com/?q=26.3450783,50.044705" TargetMode="External"/><Relationship Id="rId101" Type="http://schemas.openxmlformats.org/officeDocument/2006/relationships/hyperlink" Target="https://maps.google.com/?q=26.39326286315918,50.032772064208984" TargetMode="External"/><Relationship Id="rId185" Type="http://schemas.openxmlformats.org/officeDocument/2006/relationships/hyperlink" Target="https://maps.google.com/?q=26.9743867,49.646865" TargetMode="External"/><Relationship Id="rId406" Type="http://schemas.openxmlformats.org/officeDocument/2006/relationships/hyperlink" Target="https://maps.google.com/?q=26.4247817,50.08522" TargetMode="External"/><Relationship Id="rId392" Type="http://schemas.openxmlformats.org/officeDocument/2006/relationships/hyperlink" Target="https://maps.google.com/?q=26.45786,50.0581133" TargetMode="External"/><Relationship Id="rId613" Type="http://schemas.openxmlformats.org/officeDocument/2006/relationships/hyperlink" Target="https://maps.google.com/?q=26.1554496,50.1394911" TargetMode="External"/><Relationship Id="rId697" Type="http://schemas.openxmlformats.org/officeDocument/2006/relationships/hyperlink" Target="https://maps.google.com/?q=26.349375,50.1898817" TargetMode="External"/><Relationship Id="rId820" Type="http://schemas.openxmlformats.org/officeDocument/2006/relationships/hyperlink" Target="https://maps.google.com/?q=26.4438217,50.004585" TargetMode="External"/><Relationship Id="rId252" Type="http://schemas.openxmlformats.org/officeDocument/2006/relationships/hyperlink" Target="https://maps.google.com/?q=26.6541817,49.92473" TargetMode="External"/><Relationship Id="rId47" Type="http://schemas.openxmlformats.org/officeDocument/2006/relationships/hyperlink" Target="https://maps.google.com/?q=26.428285598754883,50.01719284057617" TargetMode="External"/><Relationship Id="rId112" Type="http://schemas.openxmlformats.org/officeDocument/2006/relationships/hyperlink" Target="https://maps.google.com/?q=26.412269592285156,50.01801681518555" TargetMode="External"/><Relationship Id="rId557" Type="http://schemas.openxmlformats.org/officeDocument/2006/relationships/hyperlink" Target="https://maps.google.com/?q=26.3750581,50.11515" TargetMode="External"/><Relationship Id="rId764" Type="http://schemas.openxmlformats.org/officeDocument/2006/relationships/hyperlink" Target="https://maps.google.com/?q=26.3544367,50.048335" TargetMode="External"/><Relationship Id="rId196" Type="http://schemas.openxmlformats.org/officeDocument/2006/relationships/hyperlink" Target="https://maps.google.com/?q=26.9588017,49.6754283" TargetMode="External"/><Relationship Id="rId417" Type="http://schemas.openxmlformats.org/officeDocument/2006/relationships/hyperlink" Target="https://maps.google.com/?q=26.4488306,50.0743452" TargetMode="External"/><Relationship Id="rId624" Type="http://schemas.openxmlformats.org/officeDocument/2006/relationships/hyperlink" Target="https://maps.google.com/?q=26.1736232,50.159325" TargetMode="External"/><Relationship Id="rId831" Type="http://schemas.openxmlformats.org/officeDocument/2006/relationships/hyperlink" Target="https://maps.google.com/?q=26.4111817,49.989165" TargetMode="External"/><Relationship Id="rId263" Type="http://schemas.openxmlformats.org/officeDocument/2006/relationships/hyperlink" Target="https://maps.google.com/?q=26.71511,50.0621933" TargetMode="External"/><Relationship Id="rId470" Type="http://schemas.openxmlformats.org/officeDocument/2006/relationships/hyperlink" Target="https://maps.google.com/?q=26.40711,50.1878267" TargetMode="External"/><Relationship Id="rId58" Type="http://schemas.openxmlformats.org/officeDocument/2006/relationships/hyperlink" Target="https://maps.google.com/?q=26.427112579345703,50.0363883972168" TargetMode="External"/><Relationship Id="rId123" Type="http://schemas.openxmlformats.org/officeDocument/2006/relationships/hyperlink" Target="https://maps.google.com/?q=27.1468033,49.5659183" TargetMode="External"/><Relationship Id="rId330" Type="http://schemas.openxmlformats.org/officeDocument/2006/relationships/hyperlink" Target="https://maps.google.com/?q=26.5639633,50.0533583" TargetMode="External"/><Relationship Id="rId568" Type="http://schemas.openxmlformats.org/officeDocument/2006/relationships/hyperlink" Target="https://maps.google.com/?q=26.4022183,50.0808317" TargetMode="External"/><Relationship Id="rId775" Type="http://schemas.openxmlformats.org/officeDocument/2006/relationships/hyperlink" Target="https://maps.google.com/?q=26.3616283,50.0651667" TargetMode="External"/><Relationship Id="rId428" Type="http://schemas.openxmlformats.org/officeDocument/2006/relationships/hyperlink" Target="https://maps.google.com/?q=26.4612528,50.0814277" TargetMode="External"/><Relationship Id="rId635" Type="http://schemas.openxmlformats.org/officeDocument/2006/relationships/hyperlink" Target="https://maps.google.com/?q=26.1931783,50.1893617" TargetMode="External"/><Relationship Id="rId842" Type="http://schemas.openxmlformats.org/officeDocument/2006/relationships/hyperlink" Target="https://maps.google.com/?q=26.4477063,49.9750768" TargetMode="External"/><Relationship Id="rId274" Type="http://schemas.openxmlformats.org/officeDocument/2006/relationships/hyperlink" Target="https://maps.google.com/?q=26.702665,50.0449246" TargetMode="External"/><Relationship Id="rId481" Type="http://schemas.openxmlformats.org/officeDocument/2006/relationships/hyperlink" Target="https://maps.google.com/?q=26.3529231,50.2013833" TargetMode="External"/><Relationship Id="rId702" Type="http://schemas.openxmlformats.org/officeDocument/2006/relationships/hyperlink" Target="https://maps.google.com/?q=26.3178617,50.1634583" TargetMode="External"/><Relationship Id="rId69" Type="http://schemas.openxmlformats.org/officeDocument/2006/relationships/hyperlink" Target="https://maps.google.com/?q=26.41676902770996,50.06015396118164" TargetMode="External"/><Relationship Id="rId134" Type="http://schemas.openxmlformats.org/officeDocument/2006/relationships/hyperlink" Target="https://maps.google.com/?q=27.1611443,49.5278478" TargetMode="External"/><Relationship Id="rId579" Type="http://schemas.openxmlformats.org/officeDocument/2006/relationships/hyperlink" Target="https://maps.google.com/?q=26.2151833,50.2127183" TargetMode="External"/><Relationship Id="rId786" Type="http://schemas.openxmlformats.org/officeDocument/2006/relationships/hyperlink" Target="https://maps.google.com/?q=26.2306917,49.9979083" TargetMode="External"/><Relationship Id="rId341" Type="http://schemas.openxmlformats.org/officeDocument/2006/relationships/hyperlink" Target="https://maps.google.com/?q=26.5588617,50.0458417" TargetMode="External"/><Relationship Id="rId439" Type="http://schemas.openxmlformats.org/officeDocument/2006/relationships/hyperlink" Target="https://maps.google.com/?q=26.4672646,50.0929699" TargetMode="External"/><Relationship Id="rId646" Type="http://schemas.openxmlformats.org/officeDocument/2006/relationships/hyperlink" Target="https://maps.google.com/?q=26.2171317,50.1845517" TargetMode="External"/><Relationship Id="rId201" Type="http://schemas.openxmlformats.org/officeDocument/2006/relationships/hyperlink" Target="https://maps.google.com/?q=26.9312177,49.7185831" TargetMode="External"/><Relationship Id="rId285" Type="http://schemas.openxmlformats.org/officeDocument/2006/relationships/hyperlink" Target="https://maps.google.com/?q=26.5844313,49.9735238" TargetMode="External"/><Relationship Id="rId506" Type="http://schemas.openxmlformats.org/officeDocument/2006/relationships/hyperlink" Target="https://maps.google.com/?q=26.4715983,50.13101" TargetMode="External"/><Relationship Id="rId492" Type="http://schemas.openxmlformats.org/officeDocument/2006/relationships/hyperlink" Target="https://maps.google.com/?q=26.3699706,50.1904769" TargetMode="External"/><Relationship Id="rId713" Type="http://schemas.openxmlformats.org/officeDocument/2006/relationships/hyperlink" Target="https://maps.google.com/?q=26.3488153,50.1426809" TargetMode="External"/><Relationship Id="rId797" Type="http://schemas.openxmlformats.org/officeDocument/2006/relationships/hyperlink" Target="https://maps.google.com/?q=26.359035,49.9665083" TargetMode="External"/><Relationship Id="rId145" Type="http://schemas.openxmlformats.org/officeDocument/2006/relationships/hyperlink" Target="https://maps.google.com/?q=26.4670185,50.0183746" TargetMode="External"/><Relationship Id="rId352" Type="http://schemas.openxmlformats.org/officeDocument/2006/relationships/hyperlink" Target="https://maps.google.com/?q=26.4921341,50.0470026" TargetMode="External"/><Relationship Id="rId212" Type="http://schemas.openxmlformats.org/officeDocument/2006/relationships/hyperlink" Target="https://maps.google.com/?q=26.6401967,49.928845" TargetMode="External"/><Relationship Id="rId657" Type="http://schemas.openxmlformats.org/officeDocument/2006/relationships/hyperlink" Target="https://maps.google.com/?q=26.2658761,50.2115955" TargetMode="External"/><Relationship Id="rId296" Type="http://schemas.openxmlformats.org/officeDocument/2006/relationships/hyperlink" Target="https://maps.google.com/?q=26.5801472,50.0051877" TargetMode="External"/><Relationship Id="rId517" Type="http://schemas.openxmlformats.org/officeDocument/2006/relationships/hyperlink" Target="https://maps.google.com/?q=26.4334483,50.119905" TargetMode="External"/><Relationship Id="rId724" Type="http://schemas.openxmlformats.org/officeDocument/2006/relationships/hyperlink" Target="https://maps.google.com/?q=26.37256,50.104815" TargetMode="External"/><Relationship Id="rId60" Type="http://schemas.openxmlformats.org/officeDocument/2006/relationships/hyperlink" Target="https://maps.google.com/?q=26.431602478027344,50.036109924316406" TargetMode="External"/><Relationship Id="rId156" Type="http://schemas.openxmlformats.org/officeDocument/2006/relationships/hyperlink" Target="https://maps.google.com/?q=27.1092736,49.5068245" TargetMode="External"/><Relationship Id="rId363" Type="http://schemas.openxmlformats.org/officeDocument/2006/relationships/hyperlink" Target="https://maps.google.com/?q=26.5073267,50.0349567" TargetMode="External"/><Relationship Id="rId570" Type="http://schemas.openxmlformats.org/officeDocument/2006/relationships/hyperlink" Target="https://maps.google.com/?q=26.4058002,50.0732244" TargetMode="External"/><Relationship Id="rId223" Type="http://schemas.openxmlformats.org/officeDocument/2006/relationships/hyperlink" Target="https://maps.google.com/?q=26.6393767,49.9610767" TargetMode="External"/><Relationship Id="rId430" Type="http://schemas.openxmlformats.org/officeDocument/2006/relationships/hyperlink" Target="https://maps.google.com/?q=26.4618556,50.0813524" TargetMode="External"/><Relationship Id="rId668" Type="http://schemas.openxmlformats.org/officeDocument/2006/relationships/hyperlink" Target="https://maps.google.com/?q=26.2919483,50.186275" TargetMode="External"/><Relationship Id="rId18" Type="http://schemas.openxmlformats.org/officeDocument/2006/relationships/hyperlink" Target="https://maps.google.com/?q=26.36308479309082,50.04037094116211" TargetMode="External"/><Relationship Id="rId528" Type="http://schemas.openxmlformats.org/officeDocument/2006/relationships/hyperlink" Target="https://maps.google.com/?q=26.3836917,50.1411183" TargetMode="External"/><Relationship Id="rId735" Type="http://schemas.openxmlformats.org/officeDocument/2006/relationships/hyperlink" Target="https://maps.google.com/?q=26.3446383,50.0772283" TargetMode="External"/><Relationship Id="rId167" Type="http://schemas.openxmlformats.org/officeDocument/2006/relationships/hyperlink" Target="https://maps.google.com/?q=27.1125104,49.5729525" TargetMode="External"/><Relationship Id="rId374" Type="http://schemas.openxmlformats.org/officeDocument/2006/relationships/hyperlink" Target="https://maps.google.com/?q=26.471815,50.026825" TargetMode="External"/><Relationship Id="rId581" Type="http://schemas.openxmlformats.org/officeDocument/2006/relationships/hyperlink" Target="https://maps.google.com/?q=26.213558,50.2078328" TargetMode="External"/><Relationship Id="rId71" Type="http://schemas.openxmlformats.org/officeDocument/2006/relationships/hyperlink" Target="https://maps.google.com/?q=26.430889129638672,50.04880142211914" TargetMode="External"/><Relationship Id="rId234" Type="http://schemas.openxmlformats.org/officeDocument/2006/relationships/hyperlink" Target="https://maps.google.com/?q=26.657702,49.9513276" TargetMode="External"/><Relationship Id="rId679" Type="http://schemas.openxmlformats.org/officeDocument/2006/relationships/hyperlink" Target="https://maps.google.com/?q=26.2855083,50.1940767" TargetMode="External"/><Relationship Id="rId802" Type="http://schemas.openxmlformats.org/officeDocument/2006/relationships/hyperlink" Target="https://maps.google.com/?q=26.35793,49.97202" TargetMode="External"/><Relationship Id="rId2" Type="http://schemas.openxmlformats.org/officeDocument/2006/relationships/hyperlink" Target="https://maps.google.com/?q=26.388065338134766,50.062896728515625" TargetMode="External"/><Relationship Id="rId29" Type="http://schemas.openxmlformats.org/officeDocument/2006/relationships/hyperlink" Target="https://maps.google.com/?q=26.37590789794922,50.0297966003418" TargetMode="External"/><Relationship Id="rId441" Type="http://schemas.openxmlformats.org/officeDocument/2006/relationships/hyperlink" Target="https://maps.google.com/?q=26.464815,50.0924489" TargetMode="External"/><Relationship Id="rId539" Type="http://schemas.openxmlformats.org/officeDocument/2006/relationships/hyperlink" Target="https://maps.google.com/?q=26.4127352,50.1216671" TargetMode="External"/><Relationship Id="rId746" Type="http://schemas.openxmlformats.org/officeDocument/2006/relationships/hyperlink" Target="https://maps.google.com/?q=26.3484633,50.0586933" TargetMode="External"/><Relationship Id="rId178" Type="http://schemas.openxmlformats.org/officeDocument/2006/relationships/hyperlink" Target="https://maps.google.com/?q=26.4409167,50.04982" TargetMode="External"/><Relationship Id="rId301" Type="http://schemas.openxmlformats.org/officeDocument/2006/relationships/hyperlink" Target="https://maps.google.com/?q=26.574657,50.0107267" TargetMode="External"/><Relationship Id="rId82" Type="http://schemas.openxmlformats.org/officeDocument/2006/relationships/hyperlink" Target="https://maps.google.com/?q=26.401939392089844,50.0503044128418" TargetMode="External"/><Relationship Id="rId385" Type="http://schemas.openxmlformats.org/officeDocument/2006/relationships/hyperlink" Target="https://maps.google.com/?q=26.4811217,50.05083" TargetMode="External"/><Relationship Id="rId592" Type="http://schemas.openxmlformats.org/officeDocument/2006/relationships/hyperlink" Target="https://maps.google.com/?q=26.191375,50.20026" TargetMode="External"/><Relationship Id="rId606" Type="http://schemas.openxmlformats.org/officeDocument/2006/relationships/hyperlink" Target="https://maps.google.com/?q=26.1745333,50.1477985" TargetMode="External"/><Relationship Id="rId813" Type="http://schemas.openxmlformats.org/officeDocument/2006/relationships/hyperlink" Target="https://maps.google.com/?q=26.3921872,49.9897815" TargetMode="External"/><Relationship Id="rId245" Type="http://schemas.openxmlformats.org/officeDocument/2006/relationships/hyperlink" Target="https://maps.google.com/?q=26.64072,49.963575" TargetMode="External"/><Relationship Id="rId452" Type="http://schemas.openxmlformats.org/officeDocument/2006/relationships/hyperlink" Target="https://maps.google.com/?q=26.4534979,50.1242849" TargetMode="External"/><Relationship Id="rId105" Type="http://schemas.openxmlformats.org/officeDocument/2006/relationships/hyperlink" Target="https://maps.google.com/?q=26.39889907836914,50.03254318237305" TargetMode="External"/><Relationship Id="rId312" Type="http://schemas.openxmlformats.org/officeDocument/2006/relationships/hyperlink" Target="https://maps.google.com/?q=26.5726583,50.03178" TargetMode="External"/><Relationship Id="rId757" Type="http://schemas.openxmlformats.org/officeDocument/2006/relationships/hyperlink" Target="https://maps.google.com/?q=26.3469167,50.0435367" TargetMode="External"/><Relationship Id="rId93" Type="http://schemas.openxmlformats.org/officeDocument/2006/relationships/hyperlink" Target="https://maps.google.com/?q=26.419008255004883,50.03140640258789" TargetMode="External"/><Relationship Id="rId189" Type="http://schemas.openxmlformats.org/officeDocument/2006/relationships/hyperlink" Target="https://maps.google.com/?q=26.9922588,49.6575698" TargetMode="External"/><Relationship Id="rId396" Type="http://schemas.openxmlformats.org/officeDocument/2006/relationships/hyperlink" Target="https://maps.google.com/?q=26.4576733,50.0514133" TargetMode="External"/><Relationship Id="rId617" Type="http://schemas.openxmlformats.org/officeDocument/2006/relationships/hyperlink" Target="https://maps.google.com/?q=26.171227,50.1620377" TargetMode="External"/><Relationship Id="rId824" Type="http://schemas.openxmlformats.org/officeDocument/2006/relationships/hyperlink" Target="https://maps.google.com/?q=26.4218717,50.0022783" TargetMode="External"/><Relationship Id="rId256" Type="http://schemas.openxmlformats.org/officeDocument/2006/relationships/hyperlink" Target="https://maps.google.com/?q=26.7090848,50.0652827" TargetMode="External"/><Relationship Id="rId463" Type="http://schemas.openxmlformats.org/officeDocument/2006/relationships/hyperlink" Target="https://maps.google.com/?q=26.4502286,50.1124435" TargetMode="External"/><Relationship Id="rId670" Type="http://schemas.openxmlformats.org/officeDocument/2006/relationships/hyperlink" Target="https://maps.google.com/?q=26.2935083,50.1831233" TargetMode="External"/><Relationship Id="rId116" Type="http://schemas.openxmlformats.org/officeDocument/2006/relationships/hyperlink" Target="https://maps.google.com/?q=26.395971298217773,50.0185661315918" TargetMode="External"/><Relationship Id="rId323" Type="http://schemas.openxmlformats.org/officeDocument/2006/relationships/hyperlink" Target="https://maps.google.com/?q=26.5779881,50.087227" TargetMode="External"/><Relationship Id="rId530" Type="http://schemas.openxmlformats.org/officeDocument/2006/relationships/hyperlink" Target="https://maps.google.com/?q=26.3813383,50.1254217" TargetMode="External"/><Relationship Id="rId768" Type="http://schemas.openxmlformats.org/officeDocument/2006/relationships/hyperlink" Target="https://maps.google.com/?q=26.3629178,50.0633782" TargetMode="External"/><Relationship Id="rId20" Type="http://schemas.openxmlformats.org/officeDocument/2006/relationships/hyperlink" Target="https://maps.google.com/?q=26.363447189331055,50.03715133666992" TargetMode="External"/><Relationship Id="rId628" Type="http://schemas.openxmlformats.org/officeDocument/2006/relationships/hyperlink" Target="https://maps.google.com/?q=26.1934,50.160295" TargetMode="External"/><Relationship Id="rId835" Type="http://schemas.openxmlformats.org/officeDocument/2006/relationships/hyperlink" Target="https://maps.google.com/?q=26.4327717,49.9869633" TargetMode="External"/><Relationship Id="rId267" Type="http://schemas.openxmlformats.org/officeDocument/2006/relationships/hyperlink" Target="https://maps.google.com/?q=26.713205,50.0585533" TargetMode="External"/><Relationship Id="rId474" Type="http://schemas.openxmlformats.org/officeDocument/2006/relationships/hyperlink" Target="https://maps.google.com/?q=26.3810859,50.2079254" TargetMode="External"/><Relationship Id="rId127" Type="http://schemas.openxmlformats.org/officeDocument/2006/relationships/hyperlink" Target="https://maps.google.com/?q=27.1538758,49.5525367" TargetMode="External"/><Relationship Id="rId681" Type="http://schemas.openxmlformats.org/officeDocument/2006/relationships/hyperlink" Target="https://maps.google.com/?q=26.2949625,50.1914801" TargetMode="External"/><Relationship Id="rId779" Type="http://schemas.openxmlformats.org/officeDocument/2006/relationships/hyperlink" Target="https://maps.google.com/?q=26.36633,50.0761583" TargetMode="External"/><Relationship Id="rId31" Type="http://schemas.openxmlformats.org/officeDocument/2006/relationships/hyperlink" Target="https://maps.google.com/?q=26.372631072998047,50.040931701660156" TargetMode="External"/><Relationship Id="rId334" Type="http://schemas.openxmlformats.org/officeDocument/2006/relationships/hyperlink" Target="https://maps.google.com/?q=26.5717883,50.0460683" TargetMode="External"/><Relationship Id="rId541" Type="http://schemas.openxmlformats.org/officeDocument/2006/relationships/hyperlink" Target="https://maps.google.com/?q=26.4130351,50.1119464" TargetMode="External"/><Relationship Id="rId639" Type="http://schemas.openxmlformats.org/officeDocument/2006/relationships/hyperlink" Target="https://maps.google.com/?q=26.2030767,50.189015" TargetMode="External"/><Relationship Id="rId180" Type="http://schemas.openxmlformats.org/officeDocument/2006/relationships/hyperlink" Target="https://maps.google.com/?q=26.7409426,49.8703848" TargetMode="External"/><Relationship Id="rId278" Type="http://schemas.openxmlformats.org/officeDocument/2006/relationships/hyperlink" Target="https://maps.google.com/?q=26.5917917,50.0098883" TargetMode="External"/><Relationship Id="rId401" Type="http://schemas.openxmlformats.org/officeDocument/2006/relationships/hyperlink" Target="https://maps.google.com/?q=26.4166758,50.0799919" TargetMode="External"/><Relationship Id="rId846" Type="http://schemas.openxmlformats.org/officeDocument/2006/relationships/hyperlink" Target="https://maps.google.com/?q=26.4784128,50.0033417" TargetMode="External"/><Relationship Id="rId485" Type="http://schemas.openxmlformats.org/officeDocument/2006/relationships/hyperlink" Target="https://maps.google.com/?q=26.35793,50.200385" TargetMode="External"/><Relationship Id="rId692" Type="http://schemas.openxmlformats.org/officeDocument/2006/relationships/hyperlink" Target="https://maps.google.com/?q=26.2985998,50.206274" TargetMode="External"/><Relationship Id="rId706" Type="http://schemas.openxmlformats.org/officeDocument/2006/relationships/hyperlink" Target="https://maps.google.com/?q=26.3229946,50.1597629" TargetMode="External"/><Relationship Id="rId42" Type="http://schemas.openxmlformats.org/officeDocument/2006/relationships/hyperlink" Target="https://maps.google.com/?q=26.428049087524414,50.022220611572266" TargetMode="External"/><Relationship Id="rId138" Type="http://schemas.openxmlformats.org/officeDocument/2006/relationships/hyperlink" Target="https://maps.google.com/?q=27.1201924,49.5334119" TargetMode="External"/><Relationship Id="rId345" Type="http://schemas.openxmlformats.org/officeDocument/2006/relationships/hyperlink" Target="https://maps.google.com/?q=26.5714407,50.0298889" TargetMode="External"/><Relationship Id="rId552" Type="http://schemas.openxmlformats.org/officeDocument/2006/relationships/hyperlink" Target="https://maps.google.com/?q=26.423135,50.0964867" TargetMode="External"/><Relationship Id="rId191" Type="http://schemas.openxmlformats.org/officeDocument/2006/relationships/hyperlink" Target="https://maps.google.com/?q=26.9791874,49.6552969" TargetMode="External"/><Relationship Id="rId205" Type="http://schemas.openxmlformats.org/officeDocument/2006/relationships/hyperlink" Target="https://maps.google.com/?q=26.8812534,49.7558221" TargetMode="External"/><Relationship Id="rId412" Type="http://schemas.openxmlformats.org/officeDocument/2006/relationships/hyperlink" Target="https://maps.google.com/?q=26.4356879,50.0795943" TargetMode="External"/><Relationship Id="rId289" Type="http://schemas.openxmlformats.org/officeDocument/2006/relationships/hyperlink" Target="https://maps.google.com/?q=26.56371,49.980955" TargetMode="External"/><Relationship Id="rId496" Type="http://schemas.openxmlformats.org/officeDocument/2006/relationships/hyperlink" Target="https://maps.google.com/?q=26.3647584,50.2013497" TargetMode="External"/><Relationship Id="rId717" Type="http://schemas.openxmlformats.org/officeDocument/2006/relationships/hyperlink" Target="https://maps.google.com/?q=26.345548,50.1375476" TargetMode="External"/><Relationship Id="rId53" Type="http://schemas.openxmlformats.org/officeDocument/2006/relationships/hyperlink" Target="https://maps.google.com/?q=26.43097496032715,50.02766799926758" TargetMode="External"/><Relationship Id="rId149" Type="http://schemas.openxmlformats.org/officeDocument/2006/relationships/hyperlink" Target="https://maps.google.com/?q=27.0923373,49.524825" TargetMode="External"/><Relationship Id="rId356" Type="http://schemas.openxmlformats.org/officeDocument/2006/relationships/hyperlink" Target="https://maps.google.com/?q=26.477343,50.0618946" TargetMode="External"/><Relationship Id="rId563" Type="http://schemas.openxmlformats.org/officeDocument/2006/relationships/hyperlink" Target="https://maps.google.com/?q=26.3956136,50.0874714" TargetMode="External"/><Relationship Id="rId770" Type="http://schemas.openxmlformats.org/officeDocument/2006/relationships/hyperlink" Target="https://maps.google.com/?q=26.3692836,50.0581549" TargetMode="External"/><Relationship Id="rId216" Type="http://schemas.openxmlformats.org/officeDocument/2006/relationships/hyperlink" Target="https://maps.google.com/?q=26.6375333,49.9095233" TargetMode="External"/><Relationship Id="rId423" Type="http://schemas.openxmlformats.org/officeDocument/2006/relationships/hyperlink" Target="https://maps.google.com/?q=26.462845,50.0620967" TargetMode="External"/><Relationship Id="rId630" Type="http://schemas.openxmlformats.org/officeDocument/2006/relationships/hyperlink" Target="https://maps.google.com/?q=26.1929367,50.1641533" TargetMode="External"/><Relationship Id="rId728" Type="http://schemas.openxmlformats.org/officeDocument/2006/relationships/hyperlink" Target="https://maps.google.com/?q=26.3552694,50.0709612" TargetMode="External"/><Relationship Id="rId64" Type="http://schemas.openxmlformats.org/officeDocument/2006/relationships/hyperlink" Target="https://maps.google.com/?q=26.437652587890625,50.03755569458008" TargetMode="External"/><Relationship Id="rId367" Type="http://schemas.openxmlformats.org/officeDocument/2006/relationships/hyperlink" Target="https://maps.google.com/?q=26.500075,50.0396033" TargetMode="External"/><Relationship Id="rId574" Type="http://schemas.openxmlformats.org/officeDocument/2006/relationships/hyperlink" Target="https://maps.google.com/?q=26.4091483,50.0809383" TargetMode="External"/><Relationship Id="rId227" Type="http://schemas.openxmlformats.org/officeDocument/2006/relationships/hyperlink" Target="https://maps.google.com/?q=26.651945,49.9440483" TargetMode="External"/><Relationship Id="rId781" Type="http://schemas.openxmlformats.org/officeDocument/2006/relationships/hyperlink" Target="https://maps.google.com/?q=26.3731283,50.0803667" TargetMode="External"/><Relationship Id="rId434" Type="http://schemas.openxmlformats.org/officeDocument/2006/relationships/hyperlink" Target="https://maps.google.com/?q=26.4665298,50.0853037" TargetMode="External"/><Relationship Id="rId641" Type="http://schemas.openxmlformats.org/officeDocument/2006/relationships/hyperlink" Target="https://maps.google.com/?q=26.2086083,50.1873183" TargetMode="External"/><Relationship Id="rId739" Type="http://schemas.openxmlformats.org/officeDocument/2006/relationships/hyperlink" Target="https://maps.google.com/?q=26.3534548,50.0977947" TargetMode="External"/><Relationship Id="rId280" Type="http://schemas.openxmlformats.org/officeDocument/2006/relationships/hyperlink" Target="https://maps.google.com/?q=26.5865708,50.0101255" TargetMode="External"/><Relationship Id="rId501" Type="http://schemas.openxmlformats.org/officeDocument/2006/relationships/hyperlink" Target="https://maps.google.com/?q=26.4680867,50.1208733" TargetMode="External"/><Relationship Id="rId75" Type="http://schemas.openxmlformats.org/officeDocument/2006/relationships/hyperlink" Target="https://maps.google.com/?q=26.412899017333984,50.03219985961914" TargetMode="External"/><Relationship Id="rId140" Type="http://schemas.openxmlformats.org/officeDocument/2006/relationships/hyperlink" Target="https://maps.google.com/?q=26.7050141,49.7606455" TargetMode="External"/><Relationship Id="rId378" Type="http://schemas.openxmlformats.org/officeDocument/2006/relationships/hyperlink" Target="https://maps.google.com/?q=26.4686133,50.0442617" TargetMode="External"/><Relationship Id="rId585" Type="http://schemas.openxmlformats.org/officeDocument/2006/relationships/hyperlink" Target="https://maps.google.com/?q=26.2156039,50.2072148" TargetMode="External"/><Relationship Id="rId792" Type="http://schemas.openxmlformats.org/officeDocument/2006/relationships/hyperlink" Target="https://maps.google.com/?q=26.3311083,50.002945" TargetMode="External"/><Relationship Id="rId806" Type="http://schemas.openxmlformats.org/officeDocument/2006/relationships/hyperlink" Target="https://maps.google.com/?q=26.3507568,49.9900649" TargetMode="External"/><Relationship Id="rId6" Type="http://schemas.openxmlformats.org/officeDocument/2006/relationships/hyperlink" Target="https://maps.google.com/?q=26.392330169677734,50.07307052612305" TargetMode="External"/><Relationship Id="rId238" Type="http://schemas.openxmlformats.org/officeDocument/2006/relationships/hyperlink" Target="https://maps.google.com/?q=26.653585,49.9620183" TargetMode="External"/><Relationship Id="rId445" Type="http://schemas.openxmlformats.org/officeDocument/2006/relationships/hyperlink" Target="https://maps.google.com/?q=26.4553506,50.0888374" TargetMode="External"/><Relationship Id="rId652" Type="http://schemas.openxmlformats.org/officeDocument/2006/relationships/hyperlink" Target="https://maps.google.com/?q=26.22015,50.2125" TargetMode="External"/><Relationship Id="rId291" Type="http://schemas.openxmlformats.org/officeDocument/2006/relationships/hyperlink" Target="https://maps.google.com/?q=26.5652633,49.9935367" TargetMode="External"/><Relationship Id="rId305" Type="http://schemas.openxmlformats.org/officeDocument/2006/relationships/hyperlink" Target="https://maps.google.com/?q=26.5753467,50.03417" TargetMode="External"/><Relationship Id="rId512" Type="http://schemas.openxmlformats.org/officeDocument/2006/relationships/hyperlink" Target="https://maps.google.com/?q=26.4490371,50.1200453" TargetMode="External"/><Relationship Id="rId86" Type="http://schemas.openxmlformats.org/officeDocument/2006/relationships/hyperlink" Target="https://maps.google.com/?q=26.416963577270508,50.05113983154297" TargetMode="External"/><Relationship Id="rId151" Type="http://schemas.openxmlformats.org/officeDocument/2006/relationships/hyperlink" Target="https://maps.google.com/?q=27.0804475,49.5139445" TargetMode="External"/><Relationship Id="rId389" Type="http://schemas.openxmlformats.org/officeDocument/2006/relationships/hyperlink" Target="https://maps.google.com/?q=26.478704,50.0462174" TargetMode="External"/><Relationship Id="rId596" Type="http://schemas.openxmlformats.org/officeDocument/2006/relationships/hyperlink" Target="https://maps.google.com/?q=26.10032,50.1341633" TargetMode="External"/><Relationship Id="rId817" Type="http://schemas.openxmlformats.org/officeDocument/2006/relationships/hyperlink" Target="https://maps.google.com/?q=26.3805783,50.011505" TargetMode="External"/><Relationship Id="rId249" Type="http://schemas.openxmlformats.org/officeDocument/2006/relationships/hyperlink" Target="https://maps.google.com/?q=26.6432567,49.9138533" TargetMode="External"/><Relationship Id="rId456" Type="http://schemas.openxmlformats.org/officeDocument/2006/relationships/hyperlink" Target="https://maps.google.com/?q=26.4513333,50.1050383" TargetMode="External"/><Relationship Id="rId663" Type="http://schemas.openxmlformats.org/officeDocument/2006/relationships/hyperlink" Target="https://maps.google.com/?q=26.3034167,50.17557" TargetMode="External"/><Relationship Id="rId13" Type="http://schemas.openxmlformats.org/officeDocument/2006/relationships/hyperlink" Target="https://maps.google.com/?q=26.37628746032715,50.046409606933594" TargetMode="External"/><Relationship Id="rId109" Type="http://schemas.openxmlformats.org/officeDocument/2006/relationships/hyperlink" Target="https://maps.google.com/?q=26.41352081298828,50.020591735839844" TargetMode="External"/><Relationship Id="rId316" Type="http://schemas.openxmlformats.org/officeDocument/2006/relationships/hyperlink" Target="https://maps.google.com/?q=26.5827233,50.0493783" TargetMode="External"/><Relationship Id="rId523" Type="http://schemas.openxmlformats.org/officeDocument/2006/relationships/hyperlink" Target="https://maps.google.com/?q=26.4302986,50.1127398" TargetMode="External"/><Relationship Id="rId97" Type="http://schemas.openxmlformats.org/officeDocument/2006/relationships/hyperlink" Target="https://maps.google.com/?q=26.40407371520996,50.01812744140625" TargetMode="External"/><Relationship Id="rId730" Type="http://schemas.openxmlformats.org/officeDocument/2006/relationships/hyperlink" Target="https://maps.google.com/?q=26.35566,50.0764067" TargetMode="External"/><Relationship Id="rId828" Type="http://schemas.openxmlformats.org/officeDocument/2006/relationships/hyperlink" Target="https://maps.google.com/?q=26.4169267,50.0005617" TargetMode="External"/><Relationship Id="rId162" Type="http://schemas.openxmlformats.org/officeDocument/2006/relationships/hyperlink" Target="https://maps.google.com/?q=27.1213992,49.5517653" TargetMode="External"/><Relationship Id="rId467" Type="http://schemas.openxmlformats.org/officeDocument/2006/relationships/hyperlink" Target="https://maps.google.com/?q=26.4483083,50.11801" TargetMode="External"/><Relationship Id="rId674" Type="http://schemas.openxmlformats.org/officeDocument/2006/relationships/hyperlink" Target="https://maps.google.com/?q=26.2899967,50.196115" TargetMode="External"/><Relationship Id="rId24" Type="http://schemas.openxmlformats.org/officeDocument/2006/relationships/hyperlink" Target="https://maps.google.com/?q=26.365114212036133,50.03079605102539" TargetMode="External"/><Relationship Id="rId327" Type="http://schemas.openxmlformats.org/officeDocument/2006/relationships/hyperlink" Target="https://maps.google.com/?q=26.5698015,50.0840916" TargetMode="External"/><Relationship Id="rId534" Type="http://schemas.openxmlformats.org/officeDocument/2006/relationships/hyperlink" Target="https://maps.google.com/?q=26.3910594,50.1046878" TargetMode="External"/><Relationship Id="rId741" Type="http://schemas.openxmlformats.org/officeDocument/2006/relationships/hyperlink" Target="https://maps.google.com/?q=26.3540682,50.0993699" TargetMode="External"/><Relationship Id="rId839" Type="http://schemas.openxmlformats.org/officeDocument/2006/relationships/hyperlink" Target="https://maps.google.com/?q=26.4383267,49.9803272" TargetMode="External"/><Relationship Id="rId173" Type="http://schemas.openxmlformats.org/officeDocument/2006/relationships/hyperlink" Target="https://maps.google.com/?q=26.9893483,49.623465" TargetMode="External"/><Relationship Id="rId229" Type="http://schemas.openxmlformats.org/officeDocument/2006/relationships/hyperlink" Target="https://maps.google.com/?q=26.6461479,49.9491742" TargetMode="External"/><Relationship Id="rId380" Type="http://schemas.openxmlformats.org/officeDocument/2006/relationships/hyperlink" Target="https://maps.google.com/?q=26.474205,50.0399117" TargetMode="External"/><Relationship Id="rId436" Type="http://schemas.openxmlformats.org/officeDocument/2006/relationships/hyperlink" Target="https://maps.google.com/?q=26.4730617,50.0873517" TargetMode="External"/><Relationship Id="rId601" Type="http://schemas.openxmlformats.org/officeDocument/2006/relationships/hyperlink" Target="https://maps.google.com/?q=26.1460917,50.107995" TargetMode="External"/><Relationship Id="rId643" Type="http://schemas.openxmlformats.org/officeDocument/2006/relationships/hyperlink" Target="https://maps.google.com/?q=26.20918,50.188855" TargetMode="External"/><Relationship Id="rId240" Type="http://schemas.openxmlformats.org/officeDocument/2006/relationships/hyperlink" Target="https://maps.google.com/?q=26.6482518,49.9646024" TargetMode="External"/><Relationship Id="rId478" Type="http://schemas.openxmlformats.org/officeDocument/2006/relationships/hyperlink" Target="https://maps.google.com/?q=26.3189717,50.2156683" TargetMode="External"/><Relationship Id="rId685" Type="http://schemas.openxmlformats.org/officeDocument/2006/relationships/hyperlink" Target="https://maps.google.com/?q=26.2986267,50.189525" TargetMode="External"/><Relationship Id="rId850" Type="http://schemas.openxmlformats.org/officeDocument/2006/relationships/printerSettings" Target="../printerSettings/printerSettings1.bin"/><Relationship Id="rId35" Type="http://schemas.openxmlformats.org/officeDocument/2006/relationships/hyperlink" Target="https://maps.google.com/?q=26.38078498840332,50.04916763305664" TargetMode="External"/><Relationship Id="rId77" Type="http://schemas.openxmlformats.org/officeDocument/2006/relationships/hyperlink" Target="https://maps.google.com/?q=26.410633087158203,50.033687591552734" TargetMode="External"/><Relationship Id="rId100" Type="http://schemas.openxmlformats.org/officeDocument/2006/relationships/hyperlink" Target="https://maps.google.com/?q=26.398611068725586,50.025421142578125" TargetMode="External"/><Relationship Id="rId282" Type="http://schemas.openxmlformats.org/officeDocument/2006/relationships/hyperlink" Target="https://maps.google.com/?q=26.5149533,50.0346417" TargetMode="External"/><Relationship Id="rId338" Type="http://schemas.openxmlformats.org/officeDocument/2006/relationships/hyperlink" Target="https://maps.google.com/?q=26.56908,50.0494283" TargetMode="External"/><Relationship Id="rId503" Type="http://schemas.openxmlformats.org/officeDocument/2006/relationships/hyperlink" Target="https://maps.google.com/?q=26.4933617,50.124035" TargetMode="External"/><Relationship Id="rId545" Type="http://schemas.openxmlformats.org/officeDocument/2006/relationships/hyperlink" Target="https://maps.google.com/?q=26.4193096,50.1112714" TargetMode="External"/><Relationship Id="rId587" Type="http://schemas.openxmlformats.org/officeDocument/2006/relationships/hyperlink" Target="https://maps.google.com/?q=26.201425,50.2080333" TargetMode="External"/><Relationship Id="rId710" Type="http://schemas.openxmlformats.org/officeDocument/2006/relationships/hyperlink" Target="https://maps.google.com/?q=26.3354067,50.1683467" TargetMode="External"/><Relationship Id="rId752" Type="http://schemas.openxmlformats.org/officeDocument/2006/relationships/hyperlink" Target="https://maps.google.com/?q=26.346405,50.047575" TargetMode="External"/><Relationship Id="rId808" Type="http://schemas.openxmlformats.org/officeDocument/2006/relationships/hyperlink" Target="https://maps.google.com/?q=26.3572479,49.9892296" TargetMode="External"/><Relationship Id="rId8" Type="http://schemas.openxmlformats.org/officeDocument/2006/relationships/hyperlink" Target="https://maps.google.com/?q=26.383947372436523,50.07054901123047" TargetMode="External"/><Relationship Id="rId142" Type="http://schemas.openxmlformats.org/officeDocument/2006/relationships/hyperlink" Target="https://maps.google.com/?q=26.6252033,49.82311" TargetMode="External"/><Relationship Id="rId184" Type="http://schemas.openxmlformats.org/officeDocument/2006/relationships/hyperlink" Target="https://maps.google.com/?q=26.9712683,49.64765" TargetMode="External"/><Relationship Id="rId391" Type="http://schemas.openxmlformats.org/officeDocument/2006/relationships/hyperlink" Target="https://maps.google.com/?q=26.4697145,50.0530834" TargetMode="External"/><Relationship Id="rId405" Type="http://schemas.openxmlformats.org/officeDocument/2006/relationships/hyperlink" Target="https://maps.google.com/?q=26.424645,50.0841983" TargetMode="External"/><Relationship Id="rId447" Type="http://schemas.openxmlformats.org/officeDocument/2006/relationships/hyperlink" Target="https://maps.google.com/?q=26.4566255,50.0920946" TargetMode="External"/><Relationship Id="rId612" Type="http://schemas.openxmlformats.org/officeDocument/2006/relationships/hyperlink" Target="https://maps.google.com/?q=26.1564133,50.133855" TargetMode="External"/><Relationship Id="rId794" Type="http://schemas.openxmlformats.org/officeDocument/2006/relationships/hyperlink" Target="https://maps.google.com/?q=26.3304848,49.9827546" TargetMode="External"/><Relationship Id="rId251" Type="http://schemas.openxmlformats.org/officeDocument/2006/relationships/hyperlink" Target="https://maps.google.com/?q=26.6542747,49.9229546" TargetMode="External"/><Relationship Id="rId489" Type="http://schemas.openxmlformats.org/officeDocument/2006/relationships/hyperlink" Target="https://maps.google.com/?q=26.3799591,50.1818528" TargetMode="External"/><Relationship Id="rId654" Type="http://schemas.openxmlformats.org/officeDocument/2006/relationships/hyperlink" Target="https://maps.google.com/?q=26.254065,50.2146617" TargetMode="External"/><Relationship Id="rId696" Type="http://schemas.openxmlformats.org/officeDocument/2006/relationships/hyperlink" Target="https://maps.google.com/?q=26.343155,50.18288" TargetMode="External"/><Relationship Id="rId46" Type="http://schemas.openxmlformats.org/officeDocument/2006/relationships/hyperlink" Target="https://maps.google.com/?q=26.43231773376465,50.021278381347656" TargetMode="External"/><Relationship Id="rId293" Type="http://schemas.openxmlformats.org/officeDocument/2006/relationships/hyperlink" Target="https://maps.google.com/?q=26.5683122,50.0051086" TargetMode="External"/><Relationship Id="rId307" Type="http://schemas.openxmlformats.org/officeDocument/2006/relationships/hyperlink" Target="https://maps.google.com/?q=26.5770033,50.025455" TargetMode="External"/><Relationship Id="rId349" Type="http://schemas.openxmlformats.org/officeDocument/2006/relationships/hyperlink" Target="https://maps.google.com/?q=26.5537377,50.0147273" TargetMode="External"/><Relationship Id="rId514" Type="http://schemas.openxmlformats.org/officeDocument/2006/relationships/hyperlink" Target="https://maps.google.com/?q=26.44413,50.1242183" TargetMode="External"/><Relationship Id="rId556" Type="http://schemas.openxmlformats.org/officeDocument/2006/relationships/hyperlink" Target="https://maps.google.com/?q=26.3769819,50.1223157" TargetMode="External"/><Relationship Id="rId721" Type="http://schemas.openxmlformats.org/officeDocument/2006/relationships/hyperlink" Target="https://maps.google.com/?q=26.3738033,50.10261" TargetMode="External"/><Relationship Id="rId763" Type="http://schemas.openxmlformats.org/officeDocument/2006/relationships/hyperlink" Target="https://maps.google.com/?q=26.35823,50.044545" TargetMode="External"/><Relationship Id="rId88" Type="http://schemas.openxmlformats.org/officeDocument/2006/relationships/hyperlink" Target="https://maps.google.com/?q=26.42191505432129,50.04682540893555" TargetMode="External"/><Relationship Id="rId111" Type="http://schemas.openxmlformats.org/officeDocument/2006/relationships/hyperlink" Target="https://maps.google.com/?q=26.414796829223633,50.02263641357422" TargetMode="External"/><Relationship Id="rId153" Type="http://schemas.openxmlformats.org/officeDocument/2006/relationships/hyperlink" Target="https://maps.google.com/?q=27.0849741,49.5075432" TargetMode="External"/><Relationship Id="rId195" Type="http://schemas.openxmlformats.org/officeDocument/2006/relationships/hyperlink" Target="https://maps.google.com/?q=26.9605567,49.6749967" TargetMode="External"/><Relationship Id="rId209" Type="http://schemas.openxmlformats.org/officeDocument/2006/relationships/hyperlink" Target="https://maps.google.com/?q=26.7882969,49.8464221" TargetMode="External"/><Relationship Id="rId360" Type="http://schemas.openxmlformats.org/officeDocument/2006/relationships/hyperlink" Target="https://maps.google.com/?q=26.5186217,50.0273133" TargetMode="External"/><Relationship Id="rId416" Type="http://schemas.openxmlformats.org/officeDocument/2006/relationships/hyperlink" Target="https://maps.google.com/?q=26.4460683,50.0705217" TargetMode="External"/><Relationship Id="rId598" Type="http://schemas.openxmlformats.org/officeDocument/2006/relationships/hyperlink" Target="https://maps.google.com/?q=26.133885,50.1577233" TargetMode="External"/><Relationship Id="rId819" Type="http://schemas.openxmlformats.org/officeDocument/2006/relationships/hyperlink" Target="https://maps.google.com/?q=26.40658,50.01408" TargetMode="External"/><Relationship Id="rId220" Type="http://schemas.openxmlformats.org/officeDocument/2006/relationships/hyperlink" Target="https://maps.google.com/?q=26.6360733,49.9195983" TargetMode="External"/><Relationship Id="rId458" Type="http://schemas.openxmlformats.org/officeDocument/2006/relationships/hyperlink" Target="https://maps.google.com/?q=26.453334,50.1061321" TargetMode="External"/><Relationship Id="rId623" Type="http://schemas.openxmlformats.org/officeDocument/2006/relationships/hyperlink" Target="https://maps.google.com/?q=26.1741288,50.157395" TargetMode="External"/><Relationship Id="rId665" Type="http://schemas.openxmlformats.org/officeDocument/2006/relationships/hyperlink" Target="https://maps.google.com/?q=26.2947,50.1784383" TargetMode="External"/><Relationship Id="rId830" Type="http://schemas.openxmlformats.org/officeDocument/2006/relationships/hyperlink" Target="https://maps.google.com/?q=26.4091367,49.9827383" TargetMode="External"/><Relationship Id="rId15" Type="http://schemas.openxmlformats.org/officeDocument/2006/relationships/hyperlink" Target="https://maps.google.com/?q=26.367286682128906,50.03718948364258" TargetMode="External"/><Relationship Id="rId57" Type="http://schemas.openxmlformats.org/officeDocument/2006/relationships/hyperlink" Target="https://maps.google.com/?q=26.432979583740234,50.02992630004883" TargetMode="External"/><Relationship Id="rId262" Type="http://schemas.openxmlformats.org/officeDocument/2006/relationships/hyperlink" Target="https://maps.google.com/?q=26.7104354,50.062381" TargetMode="External"/><Relationship Id="rId318" Type="http://schemas.openxmlformats.org/officeDocument/2006/relationships/hyperlink" Target="https://maps.google.com/?q=26.568125,50.067095" TargetMode="External"/><Relationship Id="rId525" Type="http://schemas.openxmlformats.org/officeDocument/2006/relationships/hyperlink" Target="https://maps.google.com/?q=26.42976,50.1099217" TargetMode="External"/><Relationship Id="rId567" Type="http://schemas.openxmlformats.org/officeDocument/2006/relationships/hyperlink" Target="https://maps.google.com/?q=26.404905,50.0836383" TargetMode="External"/><Relationship Id="rId732" Type="http://schemas.openxmlformats.org/officeDocument/2006/relationships/hyperlink" Target="https://maps.google.com/?q=26.3591767,50.0746233" TargetMode="External"/><Relationship Id="rId99" Type="http://schemas.openxmlformats.org/officeDocument/2006/relationships/hyperlink" Target="https://maps.google.com/?q=26.395076751708984,50.022762298583984" TargetMode="External"/><Relationship Id="rId122" Type="http://schemas.openxmlformats.org/officeDocument/2006/relationships/hyperlink" Target="https://maps.google.com/?q=27.1389267,49.5662517" TargetMode="External"/><Relationship Id="rId164" Type="http://schemas.openxmlformats.org/officeDocument/2006/relationships/hyperlink" Target="https://maps.google.com/?q=27.124655,49.5526617" TargetMode="External"/><Relationship Id="rId371" Type="http://schemas.openxmlformats.org/officeDocument/2006/relationships/hyperlink" Target="https://maps.google.com/?q=26.4833342,50.0461884" TargetMode="External"/><Relationship Id="rId774" Type="http://schemas.openxmlformats.org/officeDocument/2006/relationships/hyperlink" Target="https://maps.google.com/?q=26.362307,50.0645395" TargetMode="External"/><Relationship Id="rId427" Type="http://schemas.openxmlformats.org/officeDocument/2006/relationships/hyperlink" Target="https://maps.google.com/?q=26.4646383,50.0771833" TargetMode="External"/><Relationship Id="rId469" Type="http://schemas.openxmlformats.org/officeDocument/2006/relationships/hyperlink" Target="https://maps.google.com/?q=26.4052517,50.1848183" TargetMode="External"/><Relationship Id="rId634" Type="http://schemas.openxmlformats.org/officeDocument/2006/relationships/hyperlink" Target="https://maps.google.com/?q=26.1993083,50.184945" TargetMode="External"/><Relationship Id="rId676" Type="http://schemas.openxmlformats.org/officeDocument/2006/relationships/hyperlink" Target="https://maps.google.com/?q=26.28633,50.197545" TargetMode="External"/><Relationship Id="rId841" Type="http://schemas.openxmlformats.org/officeDocument/2006/relationships/hyperlink" Target="https://maps.google.com/?q=26.4410217,49.9869267" TargetMode="External"/><Relationship Id="rId26" Type="http://schemas.openxmlformats.org/officeDocument/2006/relationships/hyperlink" Target="https://maps.google.com/?q=26.36435890197754,50.02977752685547" TargetMode="External"/><Relationship Id="rId231" Type="http://schemas.openxmlformats.org/officeDocument/2006/relationships/hyperlink" Target="https://maps.google.com/?q=26.6571167,49.9483917" TargetMode="External"/><Relationship Id="rId273" Type="http://schemas.openxmlformats.org/officeDocument/2006/relationships/hyperlink" Target="https://maps.google.com/?q=26.69969,50.044785" TargetMode="External"/><Relationship Id="rId329" Type="http://schemas.openxmlformats.org/officeDocument/2006/relationships/hyperlink" Target="https://maps.google.com/?q=26.54325,50.0748133" TargetMode="External"/><Relationship Id="rId480" Type="http://schemas.openxmlformats.org/officeDocument/2006/relationships/hyperlink" Target="https://maps.google.com/?q=26.326385,50.212855" TargetMode="External"/><Relationship Id="rId536" Type="http://schemas.openxmlformats.org/officeDocument/2006/relationships/hyperlink" Target="https://maps.google.com/?q=26.4151485,50.1169414" TargetMode="External"/><Relationship Id="rId701" Type="http://schemas.openxmlformats.org/officeDocument/2006/relationships/hyperlink" Target="https://maps.google.com/?q=26.3273017,50.1690317" TargetMode="External"/><Relationship Id="rId68" Type="http://schemas.openxmlformats.org/officeDocument/2006/relationships/hyperlink" Target="https://maps.google.com/?q=26.43793487548828,50.047279357910156" TargetMode="External"/><Relationship Id="rId133" Type="http://schemas.openxmlformats.org/officeDocument/2006/relationships/hyperlink" Target="https://maps.google.com/?q=27.1770772,49.5162294" TargetMode="External"/><Relationship Id="rId175" Type="http://schemas.openxmlformats.org/officeDocument/2006/relationships/hyperlink" Target="https://maps.google.com/?q=27.0220745,49.6341443" TargetMode="External"/><Relationship Id="rId340" Type="http://schemas.openxmlformats.org/officeDocument/2006/relationships/hyperlink" Target="https://maps.google.com/?q=26.56861,50.0464583" TargetMode="External"/><Relationship Id="rId578" Type="http://schemas.openxmlformats.org/officeDocument/2006/relationships/hyperlink" Target="https://maps.google.com/?q=26.41588,50.0799667" TargetMode="External"/><Relationship Id="rId743" Type="http://schemas.openxmlformats.org/officeDocument/2006/relationships/hyperlink" Target="https://maps.google.com/?q=26.35817,50.0669733" TargetMode="External"/><Relationship Id="rId785" Type="http://schemas.openxmlformats.org/officeDocument/2006/relationships/hyperlink" Target="https://maps.google.com/?q=26.2331083,49.9889433" TargetMode="External"/><Relationship Id="rId200" Type="http://schemas.openxmlformats.org/officeDocument/2006/relationships/hyperlink" Target="https://maps.google.com/?q=26.9338033,49.722885" TargetMode="External"/><Relationship Id="rId382" Type="http://schemas.openxmlformats.org/officeDocument/2006/relationships/hyperlink" Target="https://maps.google.com/?q=26.4775817,50.046105" TargetMode="External"/><Relationship Id="rId438" Type="http://schemas.openxmlformats.org/officeDocument/2006/relationships/hyperlink" Target="https://maps.google.com/?q=26.4678811,50.0924192" TargetMode="External"/><Relationship Id="rId603" Type="http://schemas.openxmlformats.org/officeDocument/2006/relationships/hyperlink" Target="https://maps.google.com/?q=26.1749533,50.1466967" TargetMode="External"/><Relationship Id="rId645" Type="http://schemas.openxmlformats.org/officeDocument/2006/relationships/hyperlink" Target="https://maps.google.com/?q=26.2157183,50.1796317" TargetMode="External"/><Relationship Id="rId687" Type="http://schemas.openxmlformats.org/officeDocument/2006/relationships/hyperlink" Target="https://maps.google.com/?q=26.2916419,50.200533" TargetMode="External"/><Relationship Id="rId810" Type="http://schemas.openxmlformats.org/officeDocument/2006/relationships/hyperlink" Target="https://maps.google.com/?q=26.3511352,50.0184564" TargetMode="External"/><Relationship Id="rId242" Type="http://schemas.openxmlformats.org/officeDocument/2006/relationships/hyperlink" Target="https://maps.google.com/?q=26.6444917,49.9630583" TargetMode="External"/><Relationship Id="rId284" Type="http://schemas.openxmlformats.org/officeDocument/2006/relationships/hyperlink" Target="https://maps.google.com/?q=26.5911214,49.9784423" TargetMode="External"/><Relationship Id="rId491" Type="http://schemas.openxmlformats.org/officeDocument/2006/relationships/hyperlink" Target="https://maps.google.com/?q=26.373959,50.1919781" TargetMode="External"/><Relationship Id="rId505" Type="http://schemas.openxmlformats.org/officeDocument/2006/relationships/hyperlink" Target="https://maps.google.com/?q=26.481985,50.1269418" TargetMode="External"/><Relationship Id="rId712" Type="http://schemas.openxmlformats.org/officeDocument/2006/relationships/hyperlink" Target="https://maps.google.com/?q=26.3408117,50.1604483" TargetMode="External"/><Relationship Id="rId37" Type="http://schemas.openxmlformats.org/officeDocument/2006/relationships/hyperlink" Target="https://maps.google.com/?q=26.37790870666504,50.05939483642578" TargetMode="External"/><Relationship Id="rId79" Type="http://schemas.openxmlformats.org/officeDocument/2006/relationships/hyperlink" Target="https://maps.google.com/?q=26.400287628173828,50.04106140136719" TargetMode="External"/><Relationship Id="rId102" Type="http://schemas.openxmlformats.org/officeDocument/2006/relationships/hyperlink" Target="https://maps.google.com/?q=26.394649505615234,50.035926818847656" TargetMode="External"/><Relationship Id="rId144" Type="http://schemas.openxmlformats.org/officeDocument/2006/relationships/hyperlink" Target="https://maps.google.com/?q=26.4764017,49.9958283" TargetMode="External"/><Relationship Id="rId547" Type="http://schemas.openxmlformats.org/officeDocument/2006/relationships/hyperlink" Target="https://maps.google.com/?q=26.42411,50.10246" TargetMode="External"/><Relationship Id="rId589" Type="http://schemas.openxmlformats.org/officeDocument/2006/relationships/hyperlink" Target="https://maps.google.com/?q=26.2008983,50.2030321" TargetMode="External"/><Relationship Id="rId754" Type="http://schemas.openxmlformats.org/officeDocument/2006/relationships/hyperlink" Target="https://maps.google.com/?q=26.3441213,50.0335083" TargetMode="External"/><Relationship Id="rId796" Type="http://schemas.openxmlformats.org/officeDocument/2006/relationships/hyperlink" Target="https://maps.google.com/?q=26.3580383,49.9641933" TargetMode="External"/><Relationship Id="rId90" Type="http://schemas.openxmlformats.org/officeDocument/2006/relationships/hyperlink" Target="https://maps.google.com/?q=26.417016983032227,50.047855377197266" TargetMode="External"/><Relationship Id="rId186" Type="http://schemas.openxmlformats.org/officeDocument/2006/relationships/hyperlink" Target="https://maps.google.com/?q=26.9824783,49.64742" TargetMode="External"/><Relationship Id="rId351" Type="http://schemas.openxmlformats.org/officeDocument/2006/relationships/hyperlink" Target="https://maps.google.com/?q=26.5515717,50.01876" TargetMode="External"/><Relationship Id="rId393" Type="http://schemas.openxmlformats.org/officeDocument/2006/relationships/hyperlink" Target="https://maps.google.com/?q=26.4607979,50.0611374" TargetMode="External"/><Relationship Id="rId407" Type="http://schemas.openxmlformats.org/officeDocument/2006/relationships/hyperlink" Target="https://maps.google.com/?q=26.426465,50.08514" TargetMode="External"/><Relationship Id="rId449" Type="http://schemas.openxmlformats.org/officeDocument/2006/relationships/hyperlink" Target="https://maps.google.com/?q=26.4490767,50.0947333" TargetMode="External"/><Relationship Id="rId614" Type="http://schemas.openxmlformats.org/officeDocument/2006/relationships/hyperlink" Target="https://maps.google.com/?q=26.1535584,50.1503031" TargetMode="External"/><Relationship Id="rId656" Type="http://schemas.openxmlformats.org/officeDocument/2006/relationships/hyperlink" Target="https://maps.google.com/?q=26.2708536,50.2072687" TargetMode="External"/><Relationship Id="rId821" Type="http://schemas.openxmlformats.org/officeDocument/2006/relationships/hyperlink" Target="https://maps.google.com/?q=26.4364483,50.0055" TargetMode="External"/><Relationship Id="rId211" Type="http://schemas.openxmlformats.org/officeDocument/2006/relationships/hyperlink" Target="https://maps.google.com/?q=26.6701464,49.9246606" TargetMode="External"/><Relationship Id="rId253" Type="http://schemas.openxmlformats.org/officeDocument/2006/relationships/hyperlink" Target="https://maps.google.com/?q=26.6486372,49.9261751" TargetMode="External"/><Relationship Id="rId295" Type="http://schemas.openxmlformats.org/officeDocument/2006/relationships/hyperlink" Target="https://maps.google.com/?q=26.5766667,50.0059283" TargetMode="External"/><Relationship Id="rId309" Type="http://schemas.openxmlformats.org/officeDocument/2006/relationships/hyperlink" Target="https://maps.google.com/?q=26.5770816,50.0307461" TargetMode="External"/><Relationship Id="rId460" Type="http://schemas.openxmlformats.org/officeDocument/2006/relationships/hyperlink" Target="https://maps.google.com/?q=26.4529182,50.10867" TargetMode="External"/><Relationship Id="rId516" Type="http://schemas.openxmlformats.org/officeDocument/2006/relationships/hyperlink" Target="https://maps.google.com/?q=26.4403445,50.1232503" TargetMode="External"/><Relationship Id="rId698" Type="http://schemas.openxmlformats.org/officeDocument/2006/relationships/hyperlink" Target="https://maps.google.com/?q=26.3446087,50.1794605" TargetMode="External"/><Relationship Id="rId48" Type="http://schemas.openxmlformats.org/officeDocument/2006/relationships/hyperlink" Target="https://maps.google.com/?q=26.42816925048828,50.01979446411133" TargetMode="External"/><Relationship Id="rId113" Type="http://schemas.openxmlformats.org/officeDocument/2006/relationships/hyperlink" Target="https://maps.google.com/?q=26.408214569091797,50.01506042480469" TargetMode="External"/><Relationship Id="rId320" Type="http://schemas.openxmlformats.org/officeDocument/2006/relationships/hyperlink" Target="https://maps.google.com/?q=26.5734117,50.0803083" TargetMode="External"/><Relationship Id="rId558" Type="http://schemas.openxmlformats.org/officeDocument/2006/relationships/hyperlink" Target="https://maps.google.com/?q=26.3747517,50.11841" TargetMode="External"/><Relationship Id="rId723" Type="http://schemas.openxmlformats.org/officeDocument/2006/relationships/hyperlink" Target="https://maps.google.com/?q=26.3720967,50.1025983" TargetMode="External"/><Relationship Id="rId765" Type="http://schemas.openxmlformats.org/officeDocument/2006/relationships/hyperlink" Target="https://maps.google.com/?q=26.3533125,50.0493364" TargetMode="External"/><Relationship Id="rId155" Type="http://schemas.openxmlformats.org/officeDocument/2006/relationships/hyperlink" Target="https://maps.google.com/?q=27.0958467,49.5075483" TargetMode="External"/><Relationship Id="rId197" Type="http://schemas.openxmlformats.org/officeDocument/2006/relationships/hyperlink" Target="https://maps.google.com/?q=26.95864,49.66538" TargetMode="External"/><Relationship Id="rId362" Type="http://schemas.openxmlformats.org/officeDocument/2006/relationships/hyperlink" Target="https://maps.google.com/?q=26.5112014,50.0284803" TargetMode="External"/><Relationship Id="rId418" Type="http://schemas.openxmlformats.org/officeDocument/2006/relationships/hyperlink" Target="https://maps.google.com/?q=26.4497173,50.0782662" TargetMode="External"/><Relationship Id="rId625" Type="http://schemas.openxmlformats.org/officeDocument/2006/relationships/hyperlink" Target="https://maps.google.com/?q=26.1735541,50.1622887" TargetMode="External"/><Relationship Id="rId832" Type="http://schemas.openxmlformats.org/officeDocument/2006/relationships/hyperlink" Target="https://maps.google.com/?q=26.4115694,49.9908463" TargetMode="External"/><Relationship Id="rId222" Type="http://schemas.openxmlformats.org/officeDocument/2006/relationships/hyperlink" Target="https://maps.google.com/?q=26.639324,49.9202345" TargetMode="External"/><Relationship Id="rId264" Type="http://schemas.openxmlformats.org/officeDocument/2006/relationships/hyperlink" Target="https://maps.google.com/?q=26.7141683,50.0546883" TargetMode="External"/><Relationship Id="rId471" Type="http://schemas.openxmlformats.org/officeDocument/2006/relationships/hyperlink" Target="https://maps.google.com/?q=26.408105,50.1858833" TargetMode="External"/><Relationship Id="rId667" Type="http://schemas.openxmlformats.org/officeDocument/2006/relationships/hyperlink" Target="https://maps.google.com/?q=26.2979417,50.1783183" TargetMode="External"/><Relationship Id="rId17" Type="http://schemas.openxmlformats.org/officeDocument/2006/relationships/hyperlink" Target="https://maps.google.com/?q=26.36754608154297,50.04323196411133" TargetMode="External"/><Relationship Id="rId59" Type="http://schemas.openxmlformats.org/officeDocument/2006/relationships/hyperlink" Target="https://maps.google.com/?q=26.435747146606445,50.033119201660156" TargetMode="External"/><Relationship Id="rId124" Type="http://schemas.openxmlformats.org/officeDocument/2006/relationships/hyperlink" Target="https://maps.google.com/?q=27.1508042,49.5636303" TargetMode="External"/><Relationship Id="rId527" Type="http://schemas.openxmlformats.org/officeDocument/2006/relationships/hyperlink" Target="https://maps.google.com/?q=26.4113581,50.114944" TargetMode="External"/><Relationship Id="rId569" Type="http://schemas.openxmlformats.org/officeDocument/2006/relationships/hyperlink" Target="https://maps.google.com/?q=26.4039433,50.0740717" TargetMode="External"/><Relationship Id="rId734" Type="http://schemas.openxmlformats.org/officeDocument/2006/relationships/hyperlink" Target="https://maps.google.com/?q=26.3529633,50.0779892" TargetMode="External"/><Relationship Id="rId776" Type="http://schemas.openxmlformats.org/officeDocument/2006/relationships/hyperlink" Target="https://maps.google.com/?q=26.3704555,50.0844187" TargetMode="External"/><Relationship Id="rId70" Type="http://schemas.openxmlformats.org/officeDocument/2006/relationships/hyperlink" Target="https://maps.google.com/?q=26.41402816772461,50.0545768737793" TargetMode="External"/><Relationship Id="rId166" Type="http://schemas.openxmlformats.org/officeDocument/2006/relationships/hyperlink" Target="https://maps.google.com/?q=27.1314923,49.5589717" TargetMode="External"/><Relationship Id="rId331" Type="http://schemas.openxmlformats.org/officeDocument/2006/relationships/hyperlink" Target="https://maps.google.com/?q=26.5602883,50.0539217" TargetMode="External"/><Relationship Id="rId373" Type="http://schemas.openxmlformats.org/officeDocument/2006/relationships/hyperlink" Target="https://maps.google.com/?q=26.4840867,50.0370683" TargetMode="External"/><Relationship Id="rId429" Type="http://schemas.openxmlformats.org/officeDocument/2006/relationships/hyperlink" Target="https://maps.google.com/?q=26.4612517,50.0813167" TargetMode="External"/><Relationship Id="rId580" Type="http://schemas.openxmlformats.org/officeDocument/2006/relationships/hyperlink" Target="https://maps.google.com/?q=26.2157883,50.207735" TargetMode="External"/><Relationship Id="rId636" Type="http://schemas.openxmlformats.org/officeDocument/2006/relationships/hyperlink" Target="https://maps.google.com/?q=26.2114483,50.1892267" TargetMode="External"/><Relationship Id="rId801" Type="http://schemas.openxmlformats.org/officeDocument/2006/relationships/hyperlink" Target="https://maps.google.com/?q=26.36193,49.9712633" TargetMode="External"/><Relationship Id="rId1" Type="http://schemas.openxmlformats.org/officeDocument/2006/relationships/hyperlink" Target="https://maps.google.com/?q=26.386804580688477,50.0611457824707" TargetMode="External"/><Relationship Id="rId233" Type="http://schemas.openxmlformats.org/officeDocument/2006/relationships/hyperlink" Target="https://maps.google.com/?q=26.6575314,49.9498561" TargetMode="External"/><Relationship Id="rId440" Type="http://schemas.openxmlformats.org/officeDocument/2006/relationships/hyperlink" Target="https://maps.google.com/?q=26.4657282,50.0925569" TargetMode="External"/><Relationship Id="rId678" Type="http://schemas.openxmlformats.org/officeDocument/2006/relationships/hyperlink" Target="https://maps.google.com/?q=26.2880153,50.1958175" TargetMode="External"/><Relationship Id="rId843" Type="http://schemas.openxmlformats.org/officeDocument/2006/relationships/hyperlink" Target="https://maps.google.com/?q=26.4613566,49.9837639" TargetMode="External"/><Relationship Id="rId28" Type="http://schemas.openxmlformats.org/officeDocument/2006/relationships/hyperlink" Target="https://maps.google.com/?q=26.380983352661133,50.02537536621094" TargetMode="External"/><Relationship Id="rId275" Type="http://schemas.openxmlformats.org/officeDocument/2006/relationships/hyperlink" Target="https://maps.google.com/?q=26.590675,50.0095633" TargetMode="External"/><Relationship Id="rId300" Type="http://schemas.openxmlformats.org/officeDocument/2006/relationships/hyperlink" Target="https://maps.google.com/?q=26.5722733,50.01604" TargetMode="External"/><Relationship Id="rId482" Type="http://schemas.openxmlformats.org/officeDocument/2006/relationships/hyperlink" Target="https://maps.google.com/?q=26.3520083,50.1996133" TargetMode="External"/><Relationship Id="rId538" Type="http://schemas.openxmlformats.org/officeDocument/2006/relationships/hyperlink" Target="https://maps.google.com/?q=26.414031,50.1195742" TargetMode="External"/><Relationship Id="rId703" Type="http://schemas.openxmlformats.org/officeDocument/2006/relationships/hyperlink" Target="https://maps.google.com/?q=26.3229395,50.1615664" TargetMode="External"/><Relationship Id="rId745" Type="http://schemas.openxmlformats.org/officeDocument/2006/relationships/hyperlink" Target="https://maps.google.com/?q=26.3566833,50.0627183" TargetMode="External"/><Relationship Id="rId81" Type="http://schemas.openxmlformats.org/officeDocument/2006/relationships/hyperlink" Target="https://maps.google.com/?q=26.401416778564453,50.04838180541992" TargetMode="External"/><Relationship Id="rId135" Type="http://schemas.openxmlformats.org/officeDocument/2006/relationships/hyperlink" Target="https://maps.google.com/?q=27.1512267,49.5372683" TargetMode="External"/><Relationship Id="rId177" Type="http://schemas.openxmlformats.org/officeDocument/2006/relationships/hyperlink" Target="https://maps.google.com/?q=27.0030767,49.6404433" TargetMode="External"/><Relationship Id="rId342" Type="http://schemas.openxmlformats.org/officeDocument/2006/relationships/hyperlink" Target="https://maps.google.com/?q=26.557345,50.042125" TargetMode="External"/><Relationship Id="rId384" Type="http://schemas.openxmlformats.org/officeDocument/2006/relationships/hyperlink" Target="https://maps.google.com/?q=26.4732133,50.0446417" TargetMode="External"/><Relationship Id="rId591" Type="http://schemas.openxmlformats.org/officeDocument/2006/relationships/hyperlink" Target="https://maps.google.com/?q=26.1965971,50.2036488" TargetMode="External"/><Relationship Id="rId605" Type="http://schemas.openxmlformats.org/officeDocument/2006/relationships/hyperlink" Target="https://maps.google.com/?q=26.17464,50.1489267" TargetMode="External"/><Relationship Id="rId787" Type="http://schemas.openxmlformats.org/officeDocument/2006/relationships/hyperlink" Target="https://maps.google.com/?q=26.2413667,49.9980983" TargetMode="External"/><Relationship Id="rId812" Type="http://schemas.openxmlformats.org/officeDocument/2006/relationships/hyperlink" Target="https://maps.google.com/?q=26.4093482,49.9892745" TargetMode="External"/><Relationship Id="rId202" Type="http://schemas.openxmlformats.org/officeDocument/2006/relationships/hyperlink" Target="https://maps.google.com/?q=26.9294738,49.7164087" TargetMode="External"/><Relationship Id="rId244" Type="http://schemas.openxmlformats.org/officeDocument/2006/relationships/hyperlink" Target="https://maps.google.com/?q=26.6420017,49.9627417" TargetMode="External"/><Relationship Id="rId647" Type="http://schemas.openxmlformats.org/officeDocument/2006/relationships/hyperlink" Target="https://maps.google.com/?q=26.2314607,50.1966774" TargetMode="External"/><Relationship Id="rId689" Type="http://schemas.openxmlformats.org/officeDocument/2006/relationships/hyperlink" Target="https://maps.google.com/?q=26.2841617,50.202555" TargetMode="External"/><Relationship Id="rId39" Type="http://schemas.openxmlformats.org/officeDocument/2006/relationships/hyperlink" Target="https://maps.google.com/?q=26.3957576751709,50.04337692260742" TargetMode="External"/><Relationship Id="rId286" Type="http://schemas.openxmlformats.org/officeDocument/2006/relationships/hyperlink" Target="https://maps.google.com/?q=26.5817158,49.9786993" TargetMode="External"/><Relationship Id="rId451" Type="http://schemas.openxmlformats.org/officeDocument/2006/relationships/hyperlink" Target="https://maps.google.com/?q=26.4547313,50.096022" TargetMode="External"/><Relationship Id="rId493" Type="http://schemas.openxmlformats.org/officeDocument/2006/relationships/hyperlink" Target="https://maps.google.com/?q=26.368825,50.18834" TargetMode="External"/><Relationship Id="rId507" Type="http://schemas.openxmlformats.org/officeDocument/2006/relationships/hyperlink" Target="https://maps.google.com/?q=26.4640533,50.1237267" TargetMode="External"/><Relationship Id="rId549" Type="http://schemas.openxmlformats.org/officeDocument/2006/relationships/hyperlink" Target="https://maps.google.com/?q=26.4209533,50.1012717" TargetMode="External"/><Relationship Id="rId714" Type="http://schemas.openxmlformats.org/officeDocument/2006/relationships/hyperlink" Target="https://maps.google.com/?q=26.3352633,50.1316917" TargetMode="External"/><Relationship Id="rId756" Type="http://schemas.openxmlformats.org/officeDocument/2006/relationships/hyperlink" Target="https://maps.google.com/?q=26.3491933,50.0422467" TargetMode="External"/><Relationship Id="rId50" Type="http://schemas.openxmlformats.org/officeDocument/2006/relationships/hyperlink" Target="https://maps.google.com/?q=26.42249870300293,50.021568298339844" TargetMode="External"/><Relationship Id="rId104" Type="http://schemas.openxmlformats.org/officeDocument/2006/relationships/hyperlink" Target="https://maps.google.com/?q=26.407426834106445,50.035682678222656" TargetMode="External"/><Relationship Id="rId146" Type="http://schemas.openxmlformats.org/officeDocument/2006/relationships/hyperlink" Target="https://maps.google.com/?q=27.0915752,49.5493499" TargetMode="External"/><Relationship Id="rId188" Type="http://schemas.openxmlformats.org/officeDocument/2006/relationships/hyperlink" Target="https://maps.google.com/?q=27.0017976,49.6553776" TargetMode="External"/><Relationship Id="rId311" Type="http://schemas.openxmlformats.org/officeDocument/2006/relationships/hyperlink" Target="https://maps.google.com/?q=26.5751567,50.0314683" TargetMode="External"/><Relationship Id="rId353" Type="http://schemas.openxmlformats.org/officeDocument/2006/relationships/hyperlink" Target="https://maps.google.com/?q=26.4882167,50.0599983" TargetMode="External"/><Relationship Id="rId395" Type="http://schemas.openxmlformats.org/officeDocument/2006/relationships/hyperlink" Target="https://maps.google.com/?q=26.4651751,50.0485662" TargetMode="External"/><Relationship Id="rId409" Type="http://schemas.openxmlformats.org/officeDocument/2006/relationships/hyperlink" Target="https://maps.google.com/?q=26.428645,50.0729483" TargetMode="External"/><Relationship Id="rId560" Type="http://schemas.openxmlformats.org/officeDocument/2006/relationships/hyperlink" Target="https://maps.google.com/?q=26.3794517,50.0999947" TargetMode="External"/><Relationship Id="rId798" Type="http://schemas.openxmlformats.org/officeDocument/2006/relationships/hyperlink" Target="https://maps.google.com/?q=26.36558,49.9558917" TargetMode="External"/><Relationship Id="rId92" Type="http://schemas.openxmlformats.org/officeDocument/2006/relationships/hyperlink" Target="https://maps.google.com/?q=26.421186447143555,50.03547668457031" TargetMode="External"/><Relationship Id="rId213" Type="http://schemas.openxmlformats.org/officeDocument/2006/relationships/hyperlink" Target="https://maps.google.com/?q=26.638559,49.9175204" TargetMode="External"/><Relationship Id="rId420" Type="http://schemas.openxmlformats.org/officeDocument/2006/relationships/hyperlink" Target="https://maps.google.com/?q=26.4548867,50.0696083" TargetMode="External"/><Relationship Id="rId616" Type="http://schemas.openxmlformats.org/officeDocument/2006/relationships/hyperlink" Target="https://maps.google.com/?q=26.1569517,50.1611483" TargetMode="External"/><Relationship Id="rId658" Type="http://schemas.openxmlformats.org/officeDocument/2006/relationships/hyperlink" Target="https://maps.google.com/?q=26.2744525,50.2111289" TargetMode="External"/><Relationship Id="rId823" Type="http://schemas.openxmlformats.org/officeDocument/2006/relationships/hyperlink" Target="https://maps.google.com/?q=26.4291095,49.9995851" TargetMode="External"/><Relationship Id="rId255" Type="http://schemas.openxmlformats.org/officeDocument/2006/relationships/hyperlink" Target="https://maps.google.com/?q=26.7093692,50.0633853" TargetMode="External"/><Relationship Id="rId297" Type="http://schemas.openxmlformats.org/officeDocument/2006/relationships/hyperlink" Target="https://maps.google.com/?q=26.5772536,50.0087589" TargetMode="External"/><Relationship Id="rId462" Type="http://schemas.openxmlformats.org/officeDocument/2006/relationships/hyperlink" Target="https://maps.google.com/?q=26.4495183,50.1085167" TargetMode="External"/><Relationship Id="rId518" Type="http://schemas.openxmlformats.org/officeDocument/2006/relationships/hyperlink" Target="https://maps.google.com/?q=26.4313517,50.1210733" TargetMode="External"/><Relationship Id="rId725" Type="http://schemas.openxmlformats.org/officeDocument/2006/relationships/hyperlink" Target="https://maps.google.com/?q=26.3729917,50.10429" TargetMode="External"/><Relationship Id="rId115" Type="http://schemas.openxmlformats.org/officeDocument/2006/relationships/hyperlink" Target="https://maps.google.com/?q=26.397506713867188,50.0186653137207" TargetMode="External"/><Relationship Id="rId157" Type="http://schemas.openxmlformats.org/officeDocument/2006/relationships/hyperlink" Target="https://maps.google.com/?q=27.1010724,49.5174897" TargetMode="External"/><Relationship Id="rId322" Type="http://schemas.openxmlformats.org/officeDocument/2006/relationships/hyperlink" Target="https://maps.google.com/?q=26.58838,50.0792833" TargetMode="External"/><Relationship Id="rId364" Type="http://schemas.openxmlformats.org/officeDocument/2006/relationships/hyperlink" Target="https://maps.google.com/?q=26.508375,50.0296067" TargetMode="External"/><Relationship Id="rId767" Type="http://schemas.openxmlformats.org/officeDocument/2006/relationships/hyperlink" Target="https://maps.google.com/?q=26.359605,50.0650933" TargetMode="External"/><Relationship Id="rId61" Type="http://schemas.openxmlformats.org/officeDocument/2006/relationships/hyperlink" Target="https://maps.google.com/?q=26.43585777282715,50.03416442871094" TargetMode="External"/><Relationship Id="rId199" Type="http://schemas.openxmlformats.org/officeDocument/2006/relationships/hyperlink" Target="https://maps.google.com/?q=26.92522,49.7263683" TargetMode="External"/><Relationship Id="rId571" Type="http://schemas.openxmlformats.org/officeDocument/2006/relationships/hyperlink" Target="https://maps.google.com/?q=26.4085471,50.0715481" TargetMode="External"/><Relationship Id="rId627" Type="http://schemas.openxmlformats.org/officeDocument/2006/relationships/hyperlink" Target="https://maps.google.com/?q=26.1908288,50.1593633" TargetMode="External"/><Relationship Id="rId669" Type="http://schemas.openxmlformats.org/officeDocument/2006/relationships/hyperlink" Target="https://maps.google.com/?q=26.2932417,50.1836967" TargetMode="External"/><Relationship Id="rId834" Type="http://schemas.openxmlformats.org/officeDocument/2006/relationships/hyperlink" Target="https://maps.google.com/?q=26.42925,49.9875583" TargetMode="External"/><Relationship Id="rId19" Type="http://schemas.openxmlformats.org/officeDocument/2006/relationships/hyperlink" Target="https://maps.google.com/?q=26.364431381225586,50.0390625" TargetMode="External"/><Relationship Id="rId224" Type="http://schemas.openxmlformats.org/officeDocument/2006/relationships/hyperlink" Target="https://maps.google.com/?q=26.6445753,49.9586884" TargetMode="External"/><Relationship Id="rId266" Type="http://schemas.openxmlformats.org/officeDocument/2006/relationships/hyperlink" Target="https://maps.google.com/?q=26.7111,50.05396" TargetMode="External"/><Relationship Id="rId431" Type="http://schemas.openxmlformats.org/officeDocument/2006/relationships/hyperlink" Target="https://maps.google.com/?q=26.4620261,50.0813025" TargetMode="External"/><Relationship Id="rId473" Type="http://schemas.openxmlformats.org/officeDocument/2006/relationships/hyperlink" Target="https://maps.google.com/?q=26.4137767,50.18032" TargetMode="External"/><Relationship Id="rId529" Type="http://schemas.openxmlformats.org/officeDocument/2006/relationships/hyperlink" Target="https://maps.google.com/?q=26.3834408,50.1374159" TargetMode="External"/><Relationship Id="rId680" Type="http://schemas.openxmlformats.org/officeDocument/2006/relationships/hyperlink" Target="https://maps.google.com/?q=26.2956333,50.19373" TargetMode="External"/><Relationship Id="rId736" Type="http://schemas.openxmlformats.org/officeDocument/2006/relationships/hyperlink" Target="https://maps.google.com/?q=26.343025,50.0788233" TargetMode="External"/><Relationship Id="rId30" Type="http://schemas.openxmlformats.org/officeDocument/2006/relationships/hyperlink" Target="https://maps.google.com/?q=26.37042236328125,50.03435134887695" TargetMode="External"/><Relationship Id="rId126" Type="http://schemas.openxmlformats.org/officeDocument/2006/relationships/hyperlink" Target="https://maps.google.com/?q=27.1474027,49.5515532" TargetMode="External"/><Relationship Id="rId168" Type="http://schemas.openxmlformats.org/officeDocument/2006/relationships/hyperlink" Target="https://maps.google.com/?q=27.1219081,49.5634493" TargetMode="External"/><Relationship Id="rId333" Type="http://schemas.openxmlformats.org/officeDocument/2006/relationships/hyperlink" Target="https://maps.google.com/?q=26.57409,50.053655" TargetMode="External"/><Relationship Id="rId540" Type="http://schemas.openxmlformats.org/officeDocument/2006/relationships/hyperlink" Target="https://maps.google.com/?q=26.4175927,50.1142378" TargetMode="External"/><Relationship Id="rId778" Type="http://schemas.openxmlformats.org/officeDocument/2006/relationships/hyperlink" Target="https://maps.google.com/?q=26.3666917,50.0686583" TargetMode="External"/><Relationship Id="rId72" Type="http://schemas.openxmlformats.org/officeDocument/2006/relationships/hyperlink" Target="https://maps.google.com/?q=26.409347534179688,50.058536529541016" TargetMode="External"/><Relationship Id="rId375" Type="http://schemas.openxmlformats.org/officeDocument/2006/relationships/hyperlink" Target="https://maps.google.com/?q=26.46527,50.0252333" TargetMode="External"/><Relationship Id="rId582" Type="http://schemas.openxmlformats.org/officeDocument/2006/relationships/hyperlink" Target="https://maps.google.com/?q=26.2116083,50.2081633" TargetMode="External"/><Relationship Id="rId638" Type="http://schemas.openxmlformats.org/officeDocument/2006/relationships/hyperlink" Target="https://maps.google.com/?q=26.20858,50.18967" TargetMode="External"/><Relationship Id="rId803" Type="http://schemas.openxmlformats.org/officeDocument/2006/relationships/hyperlink" Target="https://maps.google.com/?q=26.3570333,49.9708533" TargetMode="External"/><Relationship Id="rId845" Type="http://schemas.openxmlformats.org/officeDocument/2006/relationships/hyperlink" Target="https://maps.google.com/?q=26.456815,50.0021833" TargetMode="External"/><Relationship Id="rId3" Type="http://schemas.openxmlformats.org/officeDocument/2006/relationships/hyperlink" Target="https://maps.google.com/?q=26.38880157470703,50.06441879272461" TargetMode="External"/><Relationship Id="rId235" Type="http://schemas.openxmlformats.org/officeDocument/2006/relationships/hyperlink" Target="https://maps.google.com/?q=26.6555117,49.954795" TargetMode="External"/><Relationship Id="rId277" Type="http://schemas.openxmlformats.org/officeDocument/2006/relationships/hyperlink" Target="https://maps.google.com/?q=26.6073267,50.0081183" TargetMode="External"/><Relationship Id="rId400" Type="http://schemas.openxmlformats.org/officeDocument/2006/relationships/hyperlink" Target="https://maps.google.com/?q=26.41717,50.0787567" TargetMode="External"/><Relationship Id="rId442" Type="http://schemas.openxmlformats.org/officeDocument/2006/relationships/hyperlink" Target="https://maps.google.com/?q=26.4623433,50.0923667" TargetMode="External"/><Relationship Id="rId484" Type="http://schemas.openxmlformats.org/officeDocument/2006/relationships/hyperlink" Target="https://maps.google.com/?q=26.3569717,50.2030283" TargetMode="External"/><Relationship Id="rId705" Type="http://schemas.openxmlformats.org/officeDocument/2006/relationships/hyperlink" Target="https://maps.google.com/?q=26.3284533,50.15848" TargetMode="External"/><Relationship Id="rId137" Type="http://schemas.openxmlformats.org/officeDocument/2006/relationships/hyperlink" Target="https://maps.google.com/?q=27.128167,49.5248294" TargetMode="External"/><Relationship Id="rId302" Type="http://schemas.openxmlformats.org/officeDocument/2006/relationships/hyperlink" Target="https://maps.google.com/?q=26.5712761,50.0260286" TargetMode="External"/><Relationship Id="rId344" Type="http://schemas.openxmlformats.org/officeDocument/2006/relationships/hyperlink" Target="https://maps.google.com/?q=26.5692649,50.0318625" TargetMode="External"/><Relationship Id="rId691" Type="http://schemas.openxmlformats.org/officeDocument/2006/relationships/hyperlink" Target="https://maps.google.com/?q=26.2944319,50.2063315" TargetMode="External"/><Relationship Id="rId747" Type="http://schemas.openxmlformats.org/officeDocument/2006/relationships/hyperlink" Target="https://maps.google.com/?q=26.3485472,50.0502274" TargetMode="External"/><Relationship Id="rId789" Type="http://schemas.openxmlformats.org/officeDocument/2006/relationships/hyperlink" Target="https://maps.google.com/?q=26.3351798,50.0126588" TargetMode="External"/><Relationship Id="rId41" Type="http://schemas.openxmlformats.org/officeDocument/2006/relationships/hyperlink" Target="https://maps.google.com/?q=26.426490783691406,50.02308654785156" TargetMode="External"/><Relationship Id="rId83" Type="http://schemas.openxmlformats.org/officeDocument/2006/relationships/hyperlink" Target="https://maps.google.com/?q=26.407289505004883,50.0589714050293" TargetMode="External"/><Relationship Id="rId179" Type="http://schemas.openxmlformats.org/officeDocument/2006/relationships/hyperlink" Target="https://maps.google.com/?q=26.6970713,49.9027387" TargetMode="External"/><Relationship Id="rId386" Type="http://schemas.openxmlformats.org/officeDocument/2006/relationships/hyperlink" Target="https://maps.google.com/?q=26.4777383,50.0496883" TargetMode="External"/><Relationship Id="rId551" Type="http://schemas.openxmlformats.org/officeDocument/2006/relationships/hyperlink" Target="https://maps.google.com/?q=26.4235088,50.0966748" TargetMode="External"/><Relationship Id="rId593" Type="http://schemas.openxmlformats.org/officeDocument/2006/relationships/hyperlink" Target="https://maps.google.com/?q=26.1891233,50.1887133" TargetMode="External"/><Relationship Id="rId607" Type="http://schemas.openxmlformats.org/officeDocument/2006/relationships/hyperlink" Target="https://maps.google.com/?q=26.17513,50.1455133" TargetMode="External"/><Relationship Id="rId649" Type="http://schemas.openxmlformats.org/officeDocument/2006/relationships/hyperlink" Target="https://maps.google.com/?q=26.2240233,50.1962967" TargetMode="External"/><Relationship Id="rId814" Type="http://schemas.openxmlformats.org/officeDocument/2006/relationships/hyperlink" Target="https://maps.google.com/?q=26.3929324,49.9936835" TargetMode="External"/><Relationship Id="rId190" Type="http://schemas.openxmlformats.org/officeDocument/2006/relationships/hyperlink" Target="https://maps.google.com/?q=26.9840157,49.6592477" TargetMode="External"/><Relationship Id="rId204" Type="http://schemas.openxmlformats.org/officeDocument/2006/relationships/hyperlink" Target="https://maps.google.com/?q=26.9044034,49.7246609" TargetMode="External"/><Relationship Id="rId246" Type="http://schemas.openxmlformats.org/officeDocument/2006/relationships/hyperlink" Target="https://maps.google.com/?q=26.4438033,50.0810883" TargetMode="External"/><Relationship Id="rId288" Type="http://schemas.openxmlformats.org/officeDocument/2006/relationships/hyperlink" Target="https://maps.google.com/?q=26.5666633,49.9851767" TargetMode="External"/><Relationship Id="rId411" Type="http://schemas.openxmlformats.org/officeDocument/2006/relationships/hyperlink" Target="https://maps.google.com/?q=26.44067,50.0794117" TargetMode="External"/><Relationship Id="rId453" Type="http://schemas.openxmlformats.org/officeDocument/2006/relationships/hyperlink" Target="https://maps.google.com/?q=26.4523364,50.1283966" TargetMode="External"/><Relationship Id="rId509" Type="http://schemas.openxmlformats.org/officeDocument/2006/relationships/hyperlink" Target="https://maps.google.com/?q=26.45645,50.130045" TargetMode="External"/><Relationship Id="rId660" Type="http://schemas.openxmlformats.org/officeDocument/2006/relationships/hyperlink" Target="https://maps.google.com/?q=26.28364,50.1851483" TargetMode="External"/><Relationship Id="rId106" Type="http://schemas.openxmlformats.org/officeDocument/2006/relationships/hyperlink" Target="https://maps.google.com/?q=26.41120719909668,50.03291702270508" TargetMode="External"/><Relationship Id="rId313" Type="http://schemas.openxmlformats.org/officeDocument/2006/relationships/hyperlink" Target="https://maps.google.com/?q=26.5725667,50.0350617" TargetMode="External"/><Relationship Id="rId495" Type="http://schemas.openxmlformats.org/officeDocument/2006/relationships/hyperlink" Target="https://maps.google.com/?q=26.3616587,50.1946445" TargetMode="External"/><Relationship Id="rId716" Type="http://schemas.openxmlformats.org/officeDocument/2006/relationships/hyperlink" Target="https://maps.google.com/?q=26.3483881,50.1345625" TargetMode="External"/><Relationship Id="rId758" Type="http://schemas.openxmlformats.org/officeDocument/2006/relationships/hyperlink" Target="https://maps.google.com/?q=26.3524017,50.0400967" TargetMode="External"/><Relationship Id="rId10" Type="http://schemas.openxmlformats.org/officeDocument/2006/relationships/hyperlink" Target="https://maps.google.com/?q=26.3837947845459,50.057098388671875" TargetMode="External"/><Relationship Id="rId52" Type="http://schemas.openxmlformats.org/officeDocument/2006/relationships/hyperlink" Target="https://maps.google.com/?q=26.434528350830078,50.03157043457031" TargetMode="External"/><Relationship Id="rId94" Type="http://schemas.openxmlformats.org/officeDocument/2006/relationships/hyperlink" Target="https://maps.google.com/?q=26.422901153564453,50.03812789916992" TargetMode="External"/><Relationship Id="rId148" Type="http://schemas.openxmlformats.org/officeDocument/2006/relationships/hyperlink" Target="https://maps.google.com/?q=27.097015,49.52809" TargetMode="External"/><Relationship Id="rId355" Type="http://schemas.openxmlformats.org/officeDocument/2006/relationships/hyperlink" Target="https://maps.google.com/?q=26.4809138,50.05491" TargetMode="External"/><Relationship Id="rId397" Type="http://schemas.openxmlformats.org/officeDocument/2006/relationships/hyperlink" Target="https://maps.google.com/?q=26.4552783,50.0539433" TargetMode="External"/><Relationship Id="rId520" Type="http://schemas.openxmlformats.org/officeDocument/2006/relationships/hyperlink" Target="https://maps.google.com/?q=26.4364942,50.1250328" TargetMode="External"/><Relationship Id="rId562" Type="http://schemas.openxmlformats.org/officeDocument/2006/relationships/hyperlink" Target="https://maps.google.com/?q=26.3941896,50.0846585" TargetMode="External"/><Relationship Id="rId618" Type="http://schemas.openxmlformats.org/officeDocument/2006/relationships/hyperlink" Target="https://maps.google.com/?q=26.1723133,50.1620033" TargetMode="External"/><Relationship Id="rId825" Type="http://schemas.openxmlformats.org/officeDocument/2006/relationships/hyperlink" Target="https://maps.google.com/?q=26.42125,50.00432" TargetMode="External"/><Relationship Id="rId215" Type="http://schemas.openxmlformats.org/officeDocument/2006/relationships/hyperlink" Target="https://maps.google.com/?q=26.6382566,49.9094334" TargetMode="External"/><Relationship Id="rId257" Type="http://schemas.openxmlformats.org/officeDocument/2006/relationships/hyperlink" Target="https://maps.google.com/?q=26.7114267,50.0473417" TargetMode="External"/><Relationship Id="rId422" Type="http://schemas.openxmlformats.org/officeDocument/2006/relationships/hyperlink" Target="https://maps.google.com/?q=26.45883,50.0625867" TargetMode="External"/><Relationship Id="rId464" Type="http://schemas.openxmlformats.org/officeDocument/2006/relationships/hyperlink" Target="https://maps.google.com/?q=26.4523181,50.1139752" TargetMode="External"/><Relationship Id="rId299" Type="http://schemas.openxmlformats.org/officeDocument/2006/relationships/hyperlink" Target="https://maps.google.com/?q=26.5750056,50.0157919" TargetMode="External"/><Relationship Id="rId727" Type="http://schemas.openxmlformats.org/officeDocument/2006/relationships/hyperlink" Target="https://maps.google.com/?q=26.3613633,50.08054" TargetMode="External"/><Relationship Id="rId63" Type="http://schemas.openxmlformats.org/officeDocument/2006/relationships/hyperlink" Target="https://maps.google.com/?q=26.436845779418945,50.035831451416016" TargetMode="External"/><Relationship Id="rId159" Type="http://schemas.openxmlformats.org/officeDocument/2006/relationships/hyperlink" Target="https://maps.google.com/?q=27.1121356,49.5331134" TargetMode="External"/><Relationship Id="rId366" Type="http://schemas.openxmlformats.org/officeDocument/2006/relationships/hyperlink" Target="https://maps.google.com/?q=26.50121,50.0342467" TargetMode="External"/><Relationship Id="rId573" Type="http://schemas.openxmlformats.org/officeDocument/2006/relationships/hyperlink" Target="https://maps.google.com/?q=26.4108099,50.0743632" TargetMode="External"/><Relationship Id="rId780" Type="http://schemas.openxmlformats.org/officeDocument/2006/relationships/hyperlink" Target="https://maps.google.com/?q=26.367625,50.0782183" TargetMode="External"/><Relationship Id="rId226" Type="http://schemas.openxmlformats.org/officeDocument/2006/relationships/hyperlink" Target="https://maps.google.com/?q=26.6474217,49.9540083" TargetMode="External"/><Relationship Id="rId433" Type="http://schemas.openxmlformats.org/officeDocument/2006/relationships/hyperlink" Target="https://maps.google.com/?q=26.46619,50.0816033" TargetMode="External"/><Relationship Id="rId640" Type="http://schemas.openxmlformats.org/officeDocument/2006/relationships/hyperlink" Target="https://maps.google.com/?q=26.2019851,50.1893964" TargetMode="External"/><Relationship Id="rId738" Type="http://schemas.openxmlformats.org/officeDocument/2006/relationships/hyperlink" Target="https://maps.google.com/?q=26.3509174,50.0933491" TargetMode="External"/><Relationship Id="rId74" Type="http://schemas.openxmlformats.org/officeDocument/2006/relationships/hyperlink" Target="https://maps.google.com/?q=26.42622184753418,50.04447937011719" TargetMode="External"/><Relationship Id="rId377" Type="http://schemas.openxmlformats.org/officeDocument/2006/relationships/hyperlink" Target="https://maps.google.com/?q=26.4684091,50.0440391" TargetMode="External"/><Relationship Id="rId500" Type="http://schemas.openxmlformats.org/officeDocument/2006/relationships/hyperlink" Target="https://maps.google.com/?q=26.456685,50.117745" TargetMode="External"/><Relationship Id="rId584" Type="http://schemas.openxmlformats.org/officeDocument/2006/relationships/hyperlink" Target="https://maps.google.com/?q=26.2103164,50.2071097" TargetMode="External"/><Relationship Id="rId805" Type="http://schemas.openxmlformats.org/officeDocument/2006/relationships/hyperlink" Target="https://maps.google.com/?q=26.3482132,49.9701185" TargetMode="External"/><Relationship Id="rId5" Type="http://schemas.openxmlformats.org/officeDocument/2006/relationships/hyperlink" Target="https://maps.google.com/?q=26.393627166748047,50.07076644897461" TargetMode="External"/><Relationship Id="rId237" Type="http://schemas.openxmlformats.org/officeDocument/2006/relationships/hyperlink" Target="https://maps.google.com/?q=26.658875,49.96015" TargetMode="External"/><Relationship Id="rId791" Type="http://schemas.openxmlformats.org/officeDocument/2006/relationships/hyperlink" Target="https://maps.google.com/?q=26.3361362,49.9996485" TargetMode="External"/><Relationship Id="rId444" Type="http://schemas.openxmlformats.org/officeDocument/2006/relationships/hyperlink" Target="https://maps.google.com/?q=26.4597163,50.0951501" TargetMode="External"/><Relationship Id="rId651" Type="http://schemas.openxmlformats.org/officeDocument/2006/relationships/hyperlink" Target="https://maps.google.com/?q=26.2197819,50.2098432" TargetMode="External"/><Relationship Id="rId749" Type="http://schemas.openxmlformats.org/officeDocument/2006/relationships/hyperlink" Target="https://maps.google.com/?q=26.3319067,50.0481133" TargetMode="External"/><Relationship Id="rId290" Type="http://schemas.openxmlformats.org/officeDocument/2006/relationships/hyperlink" Target="https://maps.google.com/?q=26.56422,49.981235" TargetMode="External"/><Relationship Id="rId304" Type="http://schemas.openxmlformats.org/officeDocument/2006/relationships/hyperlink" Target="https://maps.google.com/?q=26.5753967,50.03828" TargetMode="External"/><Relationship Id="rId388" Type="http://schemas.openxmlformats.org/officeDocument/2006/relationships/hyperlink" Target="https://maps.google.com/?q=26.4826043,50.0517571" TargetMode="External"/><Relationship Id="rId511" Type="http://schemas.openxmlformats.org/officeDocument/2006/relationships/hyperlink" Target="https://maps.google.com/?q=26.4519567,50.1229067" TargetMode="External"/><Relationship Id="rId609" Type="http://schemas.openxmlformats.org/officeDocument/2006/relationships/hyperlink" Target="https://maps.google.com/?q=26.1733367,50.1362483" TargetMode="External"/><Relationship Id="rId85" Type="http://schemas.openxmlformats.org/officeDocument/2006/relationships/hyperlink" Target="https://maps.google.com/?q=26.4163761138916,50.05158996582031" TargetMode="External"/><Relationship Id="rId150" Type="http://schemas.openxmlformats.org/officeDocument/2006/relationships/hyperlink" Target="https://maps.google.com/?q=27.083953,49.5171411" TargetMode="External"/><Relationship Id="rId595" Type="http://schemas.openxmlformats.org/officeDocument/2006/relationships/hyperlink" Target="https://maps.google.com/?q=26.0933155,50.1492426" TargetMode="External"/><Relationship Id="rId816" Type="http://schemas.openxmlformats.org/officeDocument/2006/relationships/hyperlink" Target="https://maps.google.com/?q=26.3826267,50.00067" TargetMode="External"/><Relationship Id="rId248" Type="http://schemas.openxmlformats.org/officeDocument/2006/relationships/hyperlink" Target="https://maps.google.com/?q=26.6326803,49.9114599" TargetMode="External"/><Relationship Id="rId455" Type="http://schemas.openxmlformats.org/officeDocument/2006/relationships/hyperlink" Target="https://maps.google.com/?q=26.4513183,50.09671" TargetMode="External"/><Relationship Id="rId662" Type="http://schemas.openxmlformats.org/officeDocument/2006/relationships/hyperlink" Target="https://maps.google.com/?q=26.3046733,50.177515" TargetMode="External"/><Relationship Id="rId12" Type="http://schemas.openxmlformats.org/officeDocument/2006/relationships/hyperlink" Target="https://maps.google.com/?q=26.37895965576172,50.049354553222656" TargetMode="External"/><Relationship Id="rId108" Type="http://schemas.openxmlformats.org/officeDocument/2006/relationships/hyperlink" Target="https://maps.google.com/?q=26.41215705871582,50.01438903808594" TargetMode="External"/><Relationship Id="rId315" Type="http://schemas.openxmlformats.org/officeDocument/2006/relationships/hyperlink" Target="https://maps.google.com/?q=26.574015,50.0491967" TargetMode="External"/><Relationship Id="rId522" Type="http://schemas.openxmlformats.org/officeDocument/2006/relationships/hyperlink" Target="https://maps.google.com/?q=26.4349317,50.1168233" TargetMode="External"/><Relationship Id="rId96" Type="http://schemas.openxmlformats.org/officeDocument/2006/relationships/hyperlink" Target="https://maps.google.com/?q=26.42238426208496,50.02950668334961" TargetMode="External"/><Relationship Id="rId161" Type="http://schemas.openxmlformats.org/officeDocument/2006/relationships/hyperlink" Target="https://maps.google.com/?q=27.1198467,49.5486067" TargetMode="External"/><Relationship Id="rId399" Type="http://schemas.openxmlformats.org/officeDocument/2006/relationships/hyperlink" Target="https://maps.google.com/?q=26.4259367,50.0699083" TargetMode="External"/><Relationship Id="rId827" Type="http://schemas.openxmlformats.org/officeDocument/2006/relationships/hyperlink" Target="https://maps.google.com/?q=26.4200783,50.0037283" TargetMode="External"/><Relationship Id="rId259" Type="http://schemas.openxmlformats.org/officeDocument/2006/relationships/hyperlink" Target="https://maps.google.com/?q=26.709532,50.0515919" TargetMode="External"/><Relationship Id="rId466" Type="http://schemas.openxmlformats.org/officeDocument/2006/relationships/hyperlink" Target="https://maps.google.com/?q=26.4487264,50.1149685" TargetMode="External"/><Relationship Id="rId673" Type="http://schemas.openxmlformats.org/officeDocument/2006/relationships/hyperlink" Target="https://maps.google.com/?q=26.2883317,50.1947501" TargetMode="External"/><Relationship Id="rId23" Type="http://schemas.openxmlformats.org/officeDocument/2006/relationships/hyperlink" Target="https://maps.google.com/?q=26.366561889648438,50.03307342529297" TargetMode="External"/><Relationship Id="rId119" Type="http://schemas.openxmlformats.org/officeDocument/2006/relationships/hyperlink" Target="https://maps.google.com/?q=26.9215568,49.4306942" TargetMode="External"/><Relationship Id="rId326" Type="http://schemas.openxmlformats.org/officeDocument/2006/relationships/hyperlink" Target="https://maps.google.com/?q=26.5735533,50.0835767" TargetMode="External"/><Relationship Id="rId533" Type="http://schemas.openxmlformats.org/officeDocument/2006/relationships/hyperlink" Target="https://maps.google.com/?q=26.4011435,50.1050382" TargetMode="External"/><Relationship Id="rId740" Type="http://schemas.openxmlformats.org/officeDocument/2006/relationships/hyperlink" Target="https://maps.google.com/?q=26.35381,50.0988655" TargetMode="External"/><Relationship Id="rId838" Type="http://schemas.openxmlformats.org/officeDocument/2006/relationships/hyperlink" Target="https://maps.google.com/?q=26.4377317,49.9776117" TargetMode="External"/><Relationship Id="rId172" Type="http://schemas.openxmlformats.org/officeDocument/2006/relationships/hyperlink" Target="https://maps.google.com/?q=26.9867464,49.6457283" TargetMode="External"/><Relationship Id="rId477" Type="http://schemas.openxmlformats.org/officeDocument/2006/relationships/hyperlink" Target="https://maps.google.com/?q=26.304225,50.213365" TargetMode="External"/><Relationship Id="rId600" Type="http://schemas.openxmlformats.org/officeDocument/2006/relationships/hyperlink" Target="https://maps.google.com/?q=26.1544808,50.1387017" TargetMode="External"/><Relationship Id="rId684" Type="http://schemas.openxmlformats.org/officeDocument/2006/relationships/hyperlink" Target="https://maps.google.com/?q=26.2971133,50.1891" TargetMode="External"/><Relationship Id="rId337" Type="http://schemas.openxmlformats.org/officeDocument/2006/relationships/hyperlink" Target="https://maps.google.com/?q=26.572768,50.049506" TargetMode="External"/><Relationship Id="rId34" Type="http://schemas.openxmlformats.org/officeDocument/2006/relationships/hyperlink" Target="https://maps.google.com/?q=26.388349533081055,50.04155731201172" TargetMode="External"/><Relationship Id="rId544" Type="http://schemas.openxmlformats.org/officeDocument/2006/relationships/hyperlink" Target="https://maps.google.com/?q=26.4093233,50.1085979" TargetMode="External"/><Relationship Id="rId751" Type="http://schemas.openxmlformats.org/officeDocument/2006/relationships/hyperlink" Target="https://maps.google.com/?q=26.3468367,50.0480233" TargetMode="External"/><Relationship Id="rId849" Type="http://schemas.openxmlformats.org/officeDocument/2006/relationships/hyperlink" Target="https://maps.google.com/?q=26.4745959,50.0080213" TargetMode="External"/><Relationship Id="rId183" Type="http://schemas.openxmlformats.org/officeDocument/2006/relationships/hyperlink" Target="https://maps.google.com/?q=26.9511778,49.6592325" TargetMode="External"/><Relationship Id="rId390" Type="http://schemas.openxmlformats.org/officeDocument/2006/relationships/hyperlink" Target="https://maps.google.com/?q=26.4759567,50.051325" TargetMode="External"/><Relationship Id="rId404" Type="http://schemas.openxmlformats.org/officeDocument/2006/relationships/hyperlink" Target="https://maps.google.com/?q=26.4230449,50.0787823" TargetMode="External"/><Relationship Id="rId611" Type="http://schemas.openxmlformats.org/officeDocument/2006/relationships/hyperlink" Target="https://maps.google.com/?q=26.1586517,50.1190517" TargetMode="External"/><Relationship Id="rId250" Type="http://schemas.openxmlformats.org/officeDocument/2006/relationships/hyperlink" Target="https://maps.google.com/?q=26.643815,49.9132917" TargetMode="External"/><Relationship Id="rId488" Type="http://schemas.openxmlformats.org/officeDocument/2006/relationships/hyperlink" Target="https://maps.google.com/?q=26.3597283,50.19105" TargetMode="External"/><Relationship Id="rId695" Type="http://schemas.openxmlformats.org/officeDocument/2006/relationships/hyperlink" Target="https://maps.google.com/?q=26.3428377,50.1822455" TargetMode="External"/><Relationship Id="rId709" Type="http://schemas.openxmlformats.org/officeDocument/2006/relationships/hyperlink" Target="https://maps.google.com/?q=26.3441233,50.1626867" TargetMode="External"/><Relationship Id="rId45" Type="http://schemas.openxmlformats.org/officeDocument/2006/relationships/hyperlink" Target="https://maps.google.com/?q=26.430103302001953,50.0180778503418" TargetMode="External"/><Relationship Id="rId110" Type="http://schemas.openxmlformats.org/officeDocument/2006/relationships/hyperlink" Target="https://maps.google.com/?q=26.41632843017578,50.02641677856445" TargetMode="External"/><Relationship Id="rId348" Type="http://schemas.openxmlformats.org/officeDocument/2006/relationships/hyperlink" Target="https://maps.google.com/?q=26.5606259,50.01921" TargetMode="External"/><Relationship Id="rId555" Type="http://schemas.openxmlformats.org/officeDocument/2006/relationships/hyperlink" Target="https://maps.google.com/?q=26.3817917,50.0984767" TargetMode="External"/><Relationship Id="rId762" Type="http://schemas.openxmlformats.org/officeDocument/2006/relationships/hyperlink" Target="https://maps.google.com/?q=26.3550183,50.0472683" TargetMode="External"/><Relationship Id="rId194" Type="http://schemas.openxmlformats.org/officeDocument/2006/relationships/hyperlink" Target="https://maps.google.com/?q=26.9623219,49.673854" TargetMode="External"/><Relationship Id="rId208" Type="http://schemas.openxmlformats.org/officeDocument/2006/relationships/hyperlink" Target="https://maps.google.com/?q=26.8443133,49.79543" TargetMode="External"/><Relationship Id="rId415" Type="http://schemas.openxmlformats.org/officeDocument/2006/relationships/hyperlink" Target="https://maps.google.com/?q=26.445115,50.07525" TargetMode="External"/><Relationship Id="rId622" Type="http://schemas.openxmlformats.org/officeDocument/2006/relationships/hyperlink" Target="https://maps.google.com/?q=26.1751517,50.157355" TargetMode="External"/><Relationship Id="rId261" Type="http://schemas.openxmlformats.org/officeDocument/2006/relationships/hyperlink" Target="https://maps.google.com/?q=26.7096458,50.0606633" TargetMode="External"/><Relationship Id="rId499" Type="http://schemas.openxmlformats.org/officeDocument/2006/relationships/hyperlink" Target="https://maps.google.com/?q=26.4308617,50.1328917" TargetMode="External"/><Relationship Id="rId56" Type="http://schemas.openxmlformats.org/officeDocument/2006/relationships/hyperlink" Target="https://maps.google.com/?q=26.434402465820312,50.025596618652344" TargetMode="External"/><Relationship Id="rId359" Type="http://schemas.openxmlformats.org/officeDocument/2006/relationships/hyperlink" Target="https://maps.google.com/?q=26.5329267,50.0283192" TargetMode="External"/><Relationship Id="rId566" Type="http://schemas.openxmlformats.org/officeDocument/2006/relationships/hyperlink" Target="https://maps.google.com/?q=26.4025079,50.0846081" TargetMode="External"/><Relationship Id="rId773" Type="http://schemas.openxmlformats.org/officeDocument/2006/relationships/hyperlink" Target="https://maps.google.com/?q=26.365695,50.061685" TargetMode="External"/><Relationship Id="rId121" Type="http://schemas.openxmlformats.org/officeDocument/2006/relationships/hyperlink" Target="https://maps.google.com/?q=27.1674706,49.573599" TargetMode="External"/><Relationship Id="rId219" Type="http://schemas.openxmlformats.org/officeDocument/2006/relationships/hyperlink" Target="https://maps.google.com/?q=26.6374375,49.9204283" TargetMode="External"/><Relationship Id="rId426" Type="http://schemas.openxmlformats.org/officeDocument/2006/relationships/hyperlink" Target="https://maps.google.com/?q=26.4721033,50.06825" TargetMode="External"/><Relationship Id="rId633" Type="http://schemas.openxmlformats.org/officeDocument/2006/relationships/hyperlink" Target="https://maps.google.com/?q=26.1915333,50.1769633" TargetMode="External"/><Relationship Id="rId840" Type="http://schemas.openxmlformats.org/officeDocument/2006/relationships/hyperlink" Target="https://maps.google.com/?q=26.4389825,49.9764608" TargetMode="External"/><Relationship Id="rId67" Type="http://schemas.openxmlformats.org/officeDocument/2006/relationships/hyperlink" Target="https://maps.google.com/?q=26.43446922302246,50.04531478881836" TargetMode="External"/><Relationship Id="rId272" Type="http://schemas.openxmlformats.org/officeDocument/2006/relationships/hyperlink" Target="https://maps.google.com/?q=26.7019467,50.0548033" TargetMode="External"/><Relationship Id="rId577" Type="http://schemas.openxmlformats.org/officeDocument/2006/relationships/hyperlink" Target="https://maps.google.com/?q=26.418995,50.0863833" TargetMode="External"/><Relationship Id="rId700" Type="http://schemas.openxmlformats.org/officeDocument/2006/relationships/hyperlink" Target="https://maps.google.com/?q=26.3129817,50.17785" TargetMode="External"/><Relationship Id="rId132" Type="http://schemas.openxmlformats.org/officeDocument/2006/relationships/hyperlink" Target="https://maps.google.com/?q=27.1826973,49.5239421" TargetMode="External"/><Relationship Id="rId784" Type="http://schemas.openxmlformats.org/officeDocument/2006/relationships/hyperlink" Target="https://maps.google.com/?q=26.2570276,50.07101" TargetMode="External"/><Relationship Id="rId437" Type="http://schemas.openxmlformats.org/officeDocument/2006/relationships/hyperlink" Target="https://maps.google.com/?q=26.4720854,50.0939203" TargetMode="External"/><Relationship Id="rId644" Type="http://schemas.openxmlformats.org/officeDocument/2006/relationships/hyperlink" Target="https://maps.google.com/?q=26.2121033,50.1889533" TargetMode="External"/><Relationship Id="rId283" Type="http://schemas.openxmlformats.org/officeDocument/2006/relationships/hyperlink" Target="https://maps.google.com/?q=26.5935867,49.9824233" TargetMode="External"/><Relationship Id="rId490" Type="http://schemas.openxmlformats.org/officeDocument/2006/relationships/hyperlink" Target="https://maps.google.com/?q=26.374165,50.1786583" TargetMode="External"/><Relationship Id="rId504" Type="http://schemas.openxmlformats.org/officeDocument/2006/relationships/hyperlink" Target="https://maps.google.com/?q=26.4884617,50.1289033" TargetMode="External"/><Relationship Id="rId711" Type="http://schemas.openxmlformats.org/officeDocument/2006/relationships/hyperlink" Target="https://maps.google.com/?q=26.3346217,50.1660483" TargetMode="External"/><Relationship Id="rId78" Type="http://schemas.openxmlformats.org/officeDocument/2006/relationships/hyperlink" Target="https://maps.google.com/?q=26.40224838256836,50.039710998535156" TargetMode="External"/><Relationship Id="rId143" Type="http://schemas.openxmlformats.org/officeDocument/2006/relationships/hyperlink" Target="https://maps.google.com/?q=26.4873533,49.9746417" TargetMode="External"/><Relationship Id="rId350" Type="http://schemas.openxmlformats.org/officeDocument/2006/relationships/hyperlink" Target="https://maps.google.com/?q=26.55483,50.018465" TargetMode="External"/><Relationship Id="rId588" Type="http://schemas.openxmlformats.org/officeDocument/2006/relationships/hyperlink" Target="https://maps.google.com/?q=26.2008771,50.2112324" TargetMode="External"/><Relationship Id="rId795" Type="http://schemas.openxmlformats.org/officeDocument/2006/relationships/hyperlink" Target="https://maps.google.com/?q=26.3569033,49.96029" TargetMode="External"/><Relationship Id="rId809" Type="http://schemas.openxmlformats.org/officeDocument/2006/relationships/hyperlink" Target="https://maps.google.com/?q=26.34943,49.99764" TargetMode="External"/><Relationship Id="rId9" Type="http://schemas.openxmlformats.org/officeDocument/2006/relationships/hyperlink" Target="https://maps.google.com/?q=26.384403228759766,50.0632438659668" TargetMode="External"/><Relationship Id="rId210" Type="http://schemas.openxmlformats.org/officeDocument/2006/relationships/hyperlink" Target="https://maps.google.com/?q=26.7237398,49.8850869" TargetMode="External"/><Relationship Id="rId448" Type="http://schemas.openxmlformats.org/officeDocument/2006/relationships/hyperlink" Target="https://maps.google.com/?q=26.4537213,50.0923071" TargetMode="External"/><Relationship Id="rId655" Type="http://schemas.openxmlformats.org/officeDocument/2006/relationships/hyperlink" Target="https://maps.google.com/?q=26.2646067,50.2080633" TargetMode="External"/><Relationship Id="rId294" Type="http://schemas.openxmlformats.org/officeDocument/2006/relationships/hyperlink" Target="https://maps.google.com/?q=26.573205,50.0056883" TargetMode="External"/><Relationship Id="rId308" Type="http://schemas.openxmlformats.org/officeDocument/2006/relationships/hyperlink" Target="https://maps.google.com/?q=26.5753267,50.0287217" TargetMode="External"/><Relationship Id="rId515" Type="http://schemas.openxmlformats.org/officeDocument/2006/relationships/hyperlink" Target="https://maps.google.com/?q=26.4396868,50.1250765" TargetMode="External"/><Relationship Id="rId722" Type="http://schemas.openxmlformats.org/officeDocument/2006/relationships/hyperlink" Target="https://maps.google.com/?q=26.3691883,50.10555" TargetMode="External"/><Relationship Id="rId89" Type="http://schemas.openxmlformats.org/officeDocument/2006/relationships/hyperlink" Target="https://maps.google.com/?q=26.41356086730957,50.040775299072266" TargetMode="External"/><Relationship Id="rId154" Type="http://schemas.openxmlformats.org/officeDocument/2006/relationships/hyperlink" Target="https://maps.google.com/?q=27.0901096,49.5088551" TargetMode="External"/><Relationship Id="rId361" Type="http://schemas.openxmlformats.org/officeDocument/2006/relationships/hyperlink" Target="https://maps.google.com/?q=26.5156417,50.0265083" TargetMode="External"/><Relationship Id="rId599" Type="http://schemas.openxmlformats.org/officeDocument/2006/relationships/hyperlink" Target="https://maps.google.com/?q=26.1539917,50.1409567" TargetMode="External"/><Relationship Id="rId459" Type="http://schemas.openxmlformats.org/officeDocument/2006/relationships/hyperlink" Target="https://maps.google.com/?q=26.45168,50.116345" TargetMode="External"/><Relationship Id="rId666" Type="http://schemas.openxmlformats.org/officeDocument/2006/relationships/hyperlink" Target="https://maps.google.com/?q=26.3003453,50.1732504" TargetMode="External"/><Relationship Id="rId16" Type="http://schemas.openxmlformats.org/officeDocument/2006/relationships/hyperlink" Target="https://maps.google.com/?q=26.368682861328125,50.04437255859375" TargetMode="External"/><Relationship Id="rId221" Type="http://schemas.openxmlformats.org/officeDocument/2006/relationships/hyperlink" Target="https://maps.google.com/?q=26.637406,49.9200597" TargetMode="External"/><Relationship Id="rId319" Type="http://schemas.openxmlformats.org/officeDocument/2006/relationships/hyperlink" Target="https://maps.google.com/?q=26.57059,50.0740867" TargetMode="External"/><Relationship Id="rId526" Type="http://schemas.openxmlformats.org/officeDocument/2006/relationships/hyperlink" Target="https://maps.google.com/?q=26.4239467,50.1214917" TargetMode="External"/><Relationship Id="rId733" Type="http://schemas.openxmlformats.org/officeDocument/2006/relationships/hyperlink" Target="https://maps.google.com/?q=26.3583483,50.075835" TargetMode="External"/><Relationship Id="rId165" Type="http://schemas.openxmlformats.org/officeDocument/2006/relationships/hyperlink" Target="https://maps.google.com/?q=27.1288556,49.5545513" TargetMode="External"/><Relationship Id="rId372" Type="http://schemas.openxmlformats.org/officeDocument/2006/relationships/hyperlink" Target="https://maps.google.com/?q=26.4887383,50.0406833" TargetMode="External"/><Relationship Id="rId677" Type="http://schemas.openxmlformats.org/officeDocument/2006/relationships/hyperlink" Target="https://maps.google.com/?q=26.28646,50.1980683" TargetMode="External"/><Relationship Id="rId800" Type="http://schemas.openxmlformats.org/officeDocument/2006/relationships/hyperlink" Target="https://maps.google.com/?q=26.36047,49.967005" TargetMode="External"/><Relationship Id="rId232" Type="http://schemas.openxmlformats.org/officeDocument/2006/relationships/hyperlink" Target="https://maps.google.com/?q=26.65748,49.9492917" TargetMode="External"/><Relationship Id="rId27" Type="http://schemas.openxmlformats.org/officeDocument/2006/relationships/hyperlink" Target="https://maps.google.com/?q=26.380287170410156,50.02554702758789" TargetMode="External"/><Relationship Id="rId537" Type="http://schemas.openxmlformats.org/officeDocument/2006/relationships/hyperlink" Target="https://maps.google.com/?q=26.4167086,50.120166" TargetMode="External"/><Relationship Id="rId744" Type="http://schemas.openxmlformats.org/officeDocument/2006/relationships/hyperlink" Target="https://maps.google.com/?q=26.3588417,50.0668767" TargetMode="External"/><Relationship Id="rId80" Type="http://schemas.openxmlformats.org/officeDocument/2006/relationships/hyperlink" Target="https://maps.google.com/?q=26.39899444580078,50.0448112487793" TargetMode="External"/><Relationship Id="rId176" Type="http://schemas.openxmlformats.org/officeDocument/2006/relationships/hyperlink" Target="https://maps.google.com/?q=27.0027518,49.6353911" TargetMode="External"/><Relationship Id="rId383" Type="http://schemas.openxmlformats.org/officeDocument/2006/relationships/hyperlink" Target="https://maps.google.com/?q=26.4801283,50.04461" TargetMode="External"/><Relationship Id="rId590" Type="http://schemas.openxmlformats.org/officeDocument/2006/relationships/hyperlink" Target="https://maps.google.com/?q=26.1965995,50.2037393" TargetMode="External"/><Relationship Id="rId604" Type="http://schemas.openxmlformats.org/officeDocument/2006/relationships/hyperlink" Target="https://maps.google.com/?q=26.173915,50.1535683" TargetMode="External"/><Relationship Id="rId811" Type="http://schemas.openxmlformats.org/officeDocument/2006/relationships/hyperlink" Target="https://maps.google.com/?q=26.3729971,50.023994" TargetMode="External"/><Relationship Id="rId243" Type="http://schemas.openxmlformats.org/officeDocument/2006/relationships/hyperlink" Target="https://maps.google.com/?q=26.6390833,49.9702033" TargetMode="External"/><Relationship Id="rId450" Type="http://schemas.openxmlformats.org/officeDocument/2006/relationships/hyperlink" Target="https://maps.google.com/?q=26.4532995,50.0963543" TargetMode="External"/><Relationship Id="rId688" Type="http://schemas.openxmlformats.org/officeDocument/2006/relationships/hyperlink" Target="https://maps.google.com/?q=26.2911038,50.202438" TargetMode="External"/><Relationship Id="rId38" Type="http://schemas.openxmlformats.org/officeDocument/2006/relationships/hyperlink" Target="https://maps.google.com/?q=26.382686614990234,50.054954528808594" TargetMode="External"/><Relationship Id="rId103" Type="http://schemas.openxmlformats.org/officeDocument/2006/relationships/hyperlink" Target="https://maps.google.com/?q=26.405975341796875,50.02837371826172" TargetMode="External"/><Relationship Id="rId310" Type="http://schemas.openxmlformats.org/officeDocument/2006/relationships/hyperlink" Target="https://maps.google.com/?q=26.5793567,50.0306817" TargetMode="External"/><Relationship Id="rId548" Type="http://schemas.openxmlformats.org/officeDocument/2006/relationships/hyperlink" Target="https://maps.google.com/?q=26.4207588,50.1063724" TargetMode="External"/><Relationship Id="rId755" Type="http://schemas.openxmlformats.org/officeDocument/2006/relationships/hyperlink" Target="https://maps.google.com/?q=26.342135,50.0374933" TargetMode="External"/><Relationship Id="rId91" Type="http://schemas.openxmlformats.org/officeDocument/2006/relationships/hyperlink" Target="https://maps.google.com/?q=26.414207458496094,50.040008544921875" TargetMode="External"/><Relationship Id="rId187" Type="http://schemas.openxmlformats.org/officeDocument/2006/relationships/hyperlink" Target="https://maps.google.com/?q=26.9797633,49.6529433" TargetMode="External"/><Relationship Id="rId394" Type="http://schemas.openxmlformats.org/officeDocument/2006/relationships/hyperlink" Target="https://maps.google.com/?q=26.462585,50.056665" TargetMode="External"/><Relationship Id="rId408" Type="http://schemas.openxmlformats.org/officeDocument/2006/relationships/hyperlink" Target="https://maps.google.com/?q=26.4273917,50.0723212" TargetMode="External"/><Relationship Id="rId615" Type="http://schemas.openxmlformats.org/officeDocument/2006/relationships/hyperlink" Target="https://maps.google.com/?q=26.1527,50.1561067" TargetMode="External"/><Relationship Id="rId822" Type="http://schemas.openxmlformats.org/officeDocument/2006/relationships/hyperlink" Target="https://maps.google.com/?q=26.4197333,49.9969167" TargetMode="External"/><Relationship Id="rId254" Type="http://schemas.openxmlformats.org/officeDocument/2006/relationships/hyperlink" Target="https://maps.google.com/?q=26.7058556,50.0671768" TargetMode="External"/><Relationship Id="rId699" Type="http://schemas.openxmlformats.org/officeDocument/2006/relationships/hyperlink" Target="https://maps.google.com/?q=26.319028,50.1577777" TargetMode="External"/><Relationship Id="rId49" Type="http://schemas.openxmlformats.org/officeDocument/2006/relationships/hyperlink" Target="https://maps.google.com/?q=26.42650032043457,50.0203742980957" TargetMode="External"/><Relationship Id="rId114" Type="http://schemas.openxmlformats.org/officeDocument/2006/relationships/hyperlink" Target="https://maps.google.com/?q=26.401451110839844,50.01732635498047" TargetMode="External"/><Relationship Id="rId461" Type="http://schemas.openxmlformats.org/officeDocument/2006/relationships/hyperlink" Target="https://maps.google.com/?q=26.4521807,50.1085326" TargetMode="External"/><Relationship Id="rId559" Type="http://schemas.openxmlformats.org/officeDocument/2006/relationships/hyperlink" Target="https://maps.google.com/?q=26.38037,50.10353" TargetMode="External"/><Relationship Id="rId766" Type="http://schemas.openxmlformats.org/officeDocument/2006/relationships/hyperlink" Target="https://maps.google.com/?q=26.3568683,50.0606667" TargetMode="External"/><Relationship Id="rId198" Type="http://schemas.openxmlformats.org/officeDocument/2006/relationships/hyperlink" Target="https://maps.google.com/?q=26.9497467,49.6665717" TargetMode="External"/><Relationship Id="rId321" Type="http://schemas.openxmlformats.org/officeDocument/2006/relationships/hyperlink" Target="https://maps.google.com/?q=26.583965,50.0758717" TargetMode="External"/><Relationship Id="rId419" Type="http://schemas.openxmlformats.org/officeDocument/2006/relationships/hyperlink" Target="https://maps.google.com/?q=26.4546,50.0808117" TargetMode="External"/><Relationship Id="rId626" Type="http://schemas.openxmlformats.org/officeDocument/2006/relationships/hyperlink" Target="https://maps.google.com/?q=26.1865874,50.1600818" TargetMode="External"/><Relationship Id="rId833" Type="http://schemas.openxmlformats.org/officeDocument/2006/relationships/hyperlink" Target="https://maps.google.com/?q=26.4244717,49.9844767" TargetMode="External"/><Relationship Id="rId265" Type="http://schemas.openxmlformats.org/officeDocument/2006/relationships/hyperlink" Target="https://maps.google.com/?q=26.71086,50.052705" TargetMode="External"/><Relationship Id="rId472" Type="http://schemas.openxmlformats.org/officeDocument/2006/relationships/hyperlink" Target="https://maps.google.com/?q=26.4155317,50.184275" TargetMode="External"/><Relationship Id="rId125" Type="http://schemas.openxmlformats.org/officeDocument/2006/relationships/hyperlink" Target="https://maps.google.com/?q=27.1461407,49.5576866" TargetMode="External"/><Relationship Id="rId332" Type="http://schemas.openxmlformats.org/officeDocument/2006/relationships/hyperlink" Target="https://maps.google.com/?q=26.5729105,50.0529977" TargetMode="External"/><Relationship Id="rId777" Type="http://schemas.openxmlformats.org/officeDocument/2006/relationships/hyperlink" Target="https://maps.google.com/?q=26.3655017,50.0770917" TargetMode="External"/><Relationship Id="rId637" Type="http://schemas.openxmlformats.org/officeDocument/2006/relationships/hyperlink" Target="https://maps.google.com/?q=26.210525,50.1892567" TargetMode="External"/><Relationship Id="rId844" Type="http://schemas.openxmlformats.org/officeDocument/2006/relationships/hyperlink" Target="https://maps.google.com/?q=26.4570696,50.0003048" TargetMode="External"/><Relationship Id="rId276" Type="http://schemas.openxmlformats.org/officeDocument/2006/relationships/hyperlink" Target="https://maps.google.com/?q=26.608485,50.0077567" TargetMode="External"/><Relationship Id="rId483" Type="http://schemas.openxmlformats.org/officeDocument/2006/relationships/hyperlink" Target="https://maps.google.com/?q=26.3542017,50.2016667" TargetMode="External"/><Relationship Id="rId690" Type="http://schemas.openxmlformats.org/officeDocument/2006/relationships/hyperlink" Target="https://maps.google.com/?q=26.29229,50.20668" TargetMode="External"/><Relationship Id="rId704" Type="http://schemas.openxmlformats.org/officeDocument/2006/relationships/hyperlink" Target="https://maps.google.com/?q=26.3224,50.1572117" TargetMode="External"/><Relationship Id="rId40" Type="http://schemas.openxmlformats.org/officeDocument/2006/relationships/hyperlink" Target="https://maps.google.com/?q=26.42633056640625,50.02357482910156" TargetMode="External"/><Relationship Id="rId136" Type="http://schemas.openxmlformats.org/officeDocument/2006/relationships/hyperlink" Target="https://maps.google.com/?q=27.1326237,49.5392858" TargetMode="External"/><Relationship Id="rId343" Type="http://schemas.openxmlformats.org/officeDocument/2006/relationships/hyperlink" Target="https://maps.google.com/?q=26.5566283,50.0364217" TargetMode="External"/><Relationship Id="rId550" Type="http://schemas.openxmlformats.org/officeDocument/2006/relationships/hyperlink" Target="https://maps.google.com/?q=26.42489,50.09855" TargetMode="External"/><Relationship Id="rId788" Type="http://schemas.openxmlformats.org/officeDocument/2006/relationships/hyperlink" Target="https://maps.google.com/?q=26.2960248,50.034956" TargetMode="External"/><Relationship Id="rId203" Type="http://schemas.openxmlformats.org/officeDocument/2006/relationships/hyperlink" Target="https://maps.google.com/?q=26.9277833,49.713975" TargetMode="External"/><Relationship Id="rId648" Type="http://schemas.openxmlformats.org/officeDocument/2006/relationships/hyperlink" Target="https://maps.google.com/?q=26.2302567,50.1957817" TargetMode="External"/><Relationship Id="rId287" Type="http://schemas.openxmlformats.org/officeDocument/2006/relationships/hyperlink" Target="https://maps.google.com/?q=26.5815433,49.9778517" TargetMode="External"/><Relationship Id="rId410" Type="http://schemas.openxmlformats.org/officeDocument/2006/relationships/hyperlink" Target="https://maps.google.com/?q=26.4384388,50.0805625" TargetMode="External"/><Relationship Id="rId494" Type="http://schemas.openxmlformats.org/officeDocument/2006/relationships/hyperlink" Target="https://maps.google.com/?q=26.3640332,50.1921724" TargetMode="External"/><Relationship Id="rId508" Type="http://schemas.openxmlformats.org/officeDocument/2006/relationships/hyperlink" Target="https://maps.google.com/?q=26.4567517,50.1227117" TargetMode="External"/><Relationship Id="rId715" Type="http://schemas.openxmlformats.org/officeDocument/2006/relationships/hyperlink" Target="https://maps.google.com/?q=26.332071,50.1449527" TargetMode="External"/><Relationship Id="rId147" Type="http://schemas.openxmlformats.org/officeDocument/2006/relationships/hyperlink" Target="https://maps.google.com/?q=27.0969651,49.5438925" TargetMode="External"/><Relationship Id="rId354" Type="http://schemas.openxmlformats.org/officeDocument/2006/relationships/hyperlink" Target="https://maps.google.com/?q=26.48835,50.0557283" TargetMode="External"/><Relationship Id="rId799" Type="http://schemas.openxmlformats.org/officeDocument/2006/relationships/hyperlink" Target="https://maps.google.com/?q=26.3679407,49.9643483" TargetMode="External"/><Relationship Id="rId51" Type="http://schemas.openxmlformats.org/officeDocument/2006/relationships/hyperlink" Target="https://maps.google.com/?q=26.419971466064453,50.021671295166016" TargetMode="External"/><Relationship Id="rId561" Type="http://schemas.openxmlformats.org/officeDocument/2006/relationships/hyperlink" Target="https://maps.google.com/?q=26.395645,50.0880033" TargetMode="External"/><Relationship Id="rId659" Type="http://schemas.openxmlformats.org/officeDocument/2006/relationships/hyperlink" Target="https://maps.google.com/?q=26.2790123,50.2022755" TargetMode="External"/><Relationship Id="rId214" Type="http://schemas.openxmlformats.org/officeDocument/2006/relationships/hyperlink" Target="https://maps.google.com/?q=26.639079,49.9083887" TargetMode="External"/><Relationship Id="rId298" Type="http://schemas.openxmlformats.org/officeDocument/2006/relationships/hyperlink" Target="https://maps.google.com/?q=26.5780967,50.0152917" TargetMode="External"/><Relationship Id="rId421" Type="http://schemas.openxmlformats.org/officeDocument/2006/relationships/hyperlink" Target="https://maps.google.com/?q=26.4548387,50.0705554" TargetMode="External"/><Relationship Id="rId519" Type="http://schemas.openxmlformats.org/officeDocument/2006/relationships/hyperlink" Target="https://maps.google.com/?q=26.4329533,50.1226347" TargetMode="External"/><Relationship Id="rId158" Type="http://schemas.openxmlformats.org/officeDocument/2006/relationships/hyperlink" Target="https://maps.google.com/?q=27.1020333,49.5210633" TargetMode="External"/><Relationship Id="rId726" Type="http://schemas.openxmlformats.org/officeDocument/2006/relationships/hyperlink" Target="https://maps.google.com/?q=26.3715233,50.0955317" TargetMode="External"/><Relationship Id="rId62" Type="http://schemas.openxmlformats.org/officeDocument/2006/relationships/hyperlink" Target="https://maps.google.com/?q=26.438308715820312,50.03414535522461" TargetMode="External"/><Relationship Id="rId365" Type="http://schemas.openxmlformats.org/officeDocument/2006/relationships/hyperlink" Target="https://maps.google.com/?q=26.5013567,50.030933" TargetMode="External"/><Relationship Id="rId572" Type="http://schemas.openxmlformats.org/officeDocument/2006/relationships/hyperlink" Target="https://maps.google.com/?q=26.4086616,50.0719408" TargetMode="External"/><Relationship Id="rId225" Type="http://schemas.openxmlformats.org/officeDocument/2006/relationships/hyperlink" Target="https://maps.google.com/?q=26.6477067,49.9589217" TargetMode="External"/><Relationship Id="rId432" Type="http://schemas.openxmlformats.org/officeDocument/2006/relationships/hyperlink" Target="https://maps.google.com/?q=26.4649443,50.081251" TargetMode="External"/><Relationship Id="rId737" Type="http://schemas.openxmlformats.org/officeDocument/2006/relationships/hyperlink" Target="https://maps.google.com/?q=26.345355,50.09928" TargetMode="External"/><Relationship Id="rId73" Type="http://schemas.openxmlformats.org/officeDocument/2006/relationships/hyperlink" Target="https://maps.google.com/?q=26.43120574951172,50.042728424072266" TargetMode="External"/><Relationship Id="rId169" Type="http://schemas.openxmlformats.org/officeDocument/2006/relationships/hyperlink" Target="https://maps.google.com/?q=27.1124648,49.5555638" TargetMode="External"/><Relationship Id="rId376" Type="http://schemas.openxmlformats.org/officeDocument/2006/relationships/hyperlink" Target="https://maps.google.com/?q=26.46735,50.0412938" TargetMode="External"/><Relationship Id="rId583" Type="http://schemas.openxmlformats.org/officeDocument/2006/relationships/hyperlink" Target="https://maps.google.com/?q=26.2084533,50.20869" TargetMode="External"/><Relationship Id="rId790" Type="http://schemas.openxmlformats.org/officeDocument/2006/relationships/hyperlink" Target="https://maps.google.com/?q=26.3393265,50.0082475" TargetMode="External"/><Relationship Id="rId804" Type="http://schemas.openxmlformats.org/officeDocument/2006/relationships/hyperlink" Target="https://maps.google.com/?q=26.3506574,49.9693056" TargetMode="External"/><Relationship Id="rId4" Type="http://schemas.openxmlformats.org/officeDocument/2006/relationships/hyperlink" Target="https://maps.google.com/?q=26.394805908203125,50.06641387939453" TargetMode="External"/><Relationship Id="rId236" Type="http://schemas.openxmlformats.org/officeDocument/2006/relationships/hyperlink" Target="https://maps.google.com/?q=26.656295,49.9587433" TargetMode="External"/><Relationship Id="rId443" Type="http://schemas.openxmlformats.org/officeDocument/2006/relationships/hyperlink" Target="https://maps.google.com/?q=26.461625,50.0925833" TargetMode="External"/><Relationship Id="rId650" Type="http://schemas.openxmlformats.org/officeDocument/2006/relationships/hyperlink" Target="https://maps.google.com/?q=26.2189793,50.2029042" TargetMode="External"/><Relationship Id="rId303" Type="http://schemas.openxmlformats.org/officeDocument/2006/relationships/hyperlink" Target="https://maps.google.com/?q=26.5715133,50.0299413" TargetMode="External"/><Relationship Id="rId748" Type="http://schemas.openxmlformats.org/officeDocument/2006/relationships/hyperlink" Target="https://maps.google.com/?q=26.3507467,50.05336" TargetMode="External"/><Relationship Id="rId84" Type="http://schemas.openxmlformats.org/officeDocument/2006/relationships/hyperlink" Target="https://maps.google.com/?q=26.414302825927734,50.053409576416016" TargetMode="External"/><Relationship Id="rId387" Type="http://schemas.openxmlformats.org/officeDocument/2006/relationships/hyperlink" Target="https://maps.google.com/?q=26.4758783,50.0564" TargetMode="External"/><Relationship Id="rId510" Type="http://schemas.openxmlformats.org/officeDocument/2006/relationships/hyperlink" Target="https://maps.google.com/?q=26.4518015,50.1275205" TargetMode="External"/><Relationship Id="rId594" Type="http://schemas.openxmlformats.org/officeDocument/2006/relationships/hyperlink" Target="https://maps.google.com/?q=26.1809181,50.1835498" TargetMode="External"/><Relationship Id="rId608" Type="http://schemas.openxmlformats.org/officeDocument/2006/relationships/hyperlink" Target="https://maps.google.com/?q=26.176315,50.1378383" TargetMode="External"/><Relationship Id="rId815" Type="http://schemas.openxmlformats.org/officeDocument/2006/relationships/hyperlink" Target="https://maps.google.com/?q=26.393649,49.9938496" TargetMode="External"/><Relationship Id="rId247" Type="http://schemas.openxmlformats.org/officeDocument/2006/relationships/hyperlink" Target="https://maps.google.com/?q=26.5165099,49.9959789" TargetMode="External"/><Relationship Id="rId107" Type="http://schemas.openxmlformats.org/officeDocument/2006/relationships/hyperlink" Target="https://maps.google.com/?q=26.41988754272461,50.024024963378906" TargetMode="External"/><Relationship Id="rId454" Type="http://schemas.openxmlformats.org/officeDocument/2006/relationships/hyperlink" Target="https://maps.google.com/?q=26.4536403,50.0967366" TargetMode="External"/><Relationship Id="rId661" Type="http://schemas.openxmlformats.org/officeDocument/2006/relationships/hyperlink" Target="https://maps.google.com/?q=26.2844317,50.184625" TargetMode="External"/><Relationship Id="rId759" Type="http://schemas.openxmlformats.org/officeDocument/2006/relationships/hyperlink" Target="https://maps.google.com/?q=26.3536534,50.0420817" TargetMode="External"/><Relationship Id="rId11" Type="http://schemas.openxmlformats.org/officeDocument/2006/relationships/hyperlink" Target="https://maps.google.com/?q=26.37799644470215,50.059513092041016" TargetMode="External"/><Relationship Id="rId314" Type="http://schemas.openxmlformats.org/officeDocument/2006/relationships/hyperlink" Target="https://maps.google.com/?q=26.5725783,50.0383967" TargetMode="External"/><Relationship Id="rId398" Type="http://schemas.openxmlformats.org/officeDocument/2006/relationships/hyperlink" Target="https://maps.google.com/?q=26.4227217,50.0725467" TargetMode="External"/><Relationship Id="rId521" Type="http://schemas.openxmlformats.org/officeDocument/2006/relationships/hyperlink" Target="https://maps.google.com/?q=26.4365967,50.1193867" TargetMode="External"/><Relationship Id="rId619" Type="http://schemas.openxmlformats.org/officeDocument/2006/relationships/hyperlink" Target="https://maps.google.com/?q=26.1929217,50.1398467" TargetMode="External"/><Relationship Id="rId95" Type="http://schemas.openxmlformats.org/officeDocument/2006/relationships/hyperlink" Target="https://maps.google.com/?q=26.425745010375977,50.035743713378906" TargetMode="External"/><Relationship Id="rId160" Type="http://schemas.openxmlformats.org/officeDocument/2006/relationships/hyperlink" Target="https://maps.google.com/?q=27.1115744,49.5441703" TargetMode="External"/><Relationship Id="rId826" Type="http://schemas.openxmlformats.org/officeDocument/2006/relationships/hyperlink" Target="https://maps.google.com/?q=26.4166333,50.0054133" TargetMode="External"/><Relationship Id="rId258" Type="http://schemas.openxmlformats.org/officeDocument/2006/relationships/hyperlink" Target="https://maps.google.com/?q=26.711145,50.0475517" TargetMode="External"/><Relationship Id="rId465" Type="http://schemas.openxmlformats.org/officeDocument/2006/relationships/hyperlink" Target="https://maps.google.com/?q=26.4494737,50.1158696" TargetMode="External"/><Relationship Id="rId672" Type="http://schemas.openxmlformats.org/officeDocument/2006/relationships/hyperlink" Target="https://maps.google.com/?q=26.288335,50.19881" TargetMode="External"/><Relationship Id="rId22" Type="http://schemas.openxmlformats.org/officeDocument/2006/relationships/hyperlink" Target="https://maps.google.com/?q=26.36713409423828,50.03365707397461" TargetMode="External"/><Relationship Id="rId118" Type="http://schemas.openxmlformats.org/officeDocument/2006/relationships/hyperlink" Target="https://maps.google.com/?q=26.8344088,49.5564276" TargetMode="External"/><Relationship Id="rId325" Type="http://schemas.openxmlformats.org/officeDocument/2006/relationships/hyperlink" Target="https://maps.google.com/?q=26.5758596,50.0848154" TargetMode="External"/><Relationship Id="rId532" Type="http://schemas.openxmlformats.org/officeDocument/2006/relationships/hyperlink" Target="https://maps.google.com/?q=26.383205,50.1046917" TargetMode="External"/><Relationship Id="rId171" Type="http://schemas.openxmlformats.org/officeDocument/2006/relationships/hyperlink" Target="https://maps.google.com/?q=26.9638283,49.6441583" TargetMode="External"/><Relationship Id="rId837" Type="http://schemas.openxmlformats.org/officeDocument/2006/relationships/hyperlink" Target="https://maps.google.com/?q=26.4516817,49.9940583" TargetMode="External"/><Relationship Id="rId269" Type="http://schemas.openxmlformats.org/officeDocument/2006/relationships/hyperlink" Target="https://maps.google.com/?q=26.7100133,50.06755" TargetMode="External"/><Relationship Id="rId476" Type="http://schemas.openxmlformats.org/officeDocument/2006/relationships/hyperlink" Target="https://maps.google.com/?q=26.3203322,50.2166103" TargetMode="External"/><Relationship Id="rId683" Type="http://schemas.openxmlformats.org/officeDocument/2006/relationships/hyperlink" Target="https://maps.google.com/?q=26.2955426,50.1892836" TargetMode="External"/><Relationship Id="rId33" Type="http://schemas.openxmlformats.org/officeDocument/2006/relationships/hyperlink" Target="https://maps.google.com/?q=26.37879180908203,50.037967681884766" TargetMode="External"/><Relationship Id="rId129" Type="http://schemas.openxmlformats.org/officeDocument/2006/relationships/hyperlink" Target="https://maps.google.com/?q=27.158325,49.54337" TargetMode="External"/><Relationship Id="rId336" Type="http://schemas.openxmlformats.org/officeDocument/2006/relationships/hyperlink" Target="https://maps.google.com/?q=26.5726017,50.0517683" TargetMode="External"/><Relationship Id="rId543" Type="http://schemas.openxmlformats.org/officeDocument/2006/relationships/hyperlink" Target="https://maps.google.com/?q=26.4058807,50.1078029" TargetMode="External"/><Relationship Id="rId182" Type="http://schemas.openxmlformats.org/officeDocument/2006/relationships/hyperlink" Target="https://maps.google.com/?q=26.9285519,49.7036064" TargetMode="External"/><Relationship Id="rId403" Type="http://schemas.openxmlformats.org/officeDocument/2006/relationships/hyperlink" Target="https://maps.google.com/?q=26.4232667,50.0797117" TargetMode="External"/><Relationship Id="rId750" Type="http://schemas.openxmlformats.org/officeDocument/2006/relationships/hyperlink" Target="https://maps.google.com/?q=26.33853,50.0402333" TargetMode="External"/><Relationship Id="rId848" Type="http://schemas.openxmlformats.org/officeDocument/2006/relationships/hyperlink" Target="https://maps.google.com/?q=26.4745281,50.0080145" TargetMode="External"/><Relationship Id="rId487" Type="http://schemas.openxmlformats.org/officeDocument/2006/relationships/hyperlink" Target="https://maps.google.com/?q=26.3547095,50.1933936" TargetMode="External"/><Relationship Id="rId610" Type="http://schemas.openxmlformats.org/officeDocument/2006/relationships/hyperlink" Target="https://maps.google.com/?q=26.1677017,50.1172533" TargetMode="External"/><Relationship Id="rId694" Type="http://schemas.openxmlformats.org/officeDocument/2006/relationships/hyperlink" Target="https://maps.google.com/?q=26.3356283,50.19368" TargetMode="External"/><Relationship Id="rId708" Type="http://schemas.openxmlformats.org/officeDocument/2006/relationships/hyperlink" Target="https://maps.google.com/?q=26.3495083,50.15721" TargetMode="External"/><Relationship Id="rId347" Type="http://schemas.openxmlformats.org/officeDocument/2006/relationships/hyperlink" Target="https://maps.google.com/?q=26.5611417,50.018615" TargetMode="External"/><Relationship Id="rId44" Type="http://schemas.openxmlformats.org/officeDocument/2006/relationships/hyperlink" Target="https://maps.google.com/?q=26.424253463745117,50.024967193603516" TargetMode="External"/><Relationship Id="rId554" Type="http://schemas.openxmlformats.org/officeDocument/2006/relationships/hyperlink" Target="https://maps.google.com/?q=26.38279,50.09809" TargetMode="External"/><Relationship Id="rId761" Type="http://schemas.openxmlformats.org/officeDocument/2006/relationships/hyperlink" Target="https://maps.google.com/?q=26.3655883,50.049535" TargetMode="External"/><Relationship Id="rId193" Type="http://schemas.openxmlformats.org/officeDocument/2006/relationships/hyperlink" Target="https://maps.google.com/?q=26.9644409,49.6683692" TargetMode="External"/><Relationship Id="rId207" Type="http://schemas.openxmlformats.org/officeDocument/2006/relationships/hyperlink" Target="https://maps.google.com/?q=26.8545517,49.79771" TargetMode="External"/><Relationship Id="rId414" Type="http://schemas.openxmlformats.org/officeDocument/2006/relationships/hyperlink" Target="https://maps.google.com/?q=26.442075,50.07818" TargetMode="External"/><Relationship Id="rId498" Type="http://schemas.openxmlformats.org/officeDocument/2006/relationships/hyperlink" Target="https://maps.google.com/?q=26.4150617,50.1700783" TargetMode="External"/><Relationship Id="rId621" Type="http://schemas.openxmlformats.org/officeDocument/2006/relationships/hyperlink" Target="https://maps.google.com/?q=26.1760404,50.1436689" TargetMode="External"/><Relationship Id="rId260" Type="http://schemas.openxmlformats.org/officeDocument/2006/relationships/hyperlink" Target="https://maps.google.com/?q=26.70758,50.055195" TargetMode="External"/><Relationship Id="rId719" Type="http://schemas.openxmlformats.org/officeDocument/2006/relationships/hyperlink" Target="https://maps.google.com/?q=26.3469017,50.1355433" TargetMode="External"/><Relationship Id="rId55" Type="http://schemas.openxmlformats.org/officeDocument/2006/relationships/hyperlink" Target="https://maps.google.com/?q=26.434003829956055,50.02493667602539" TargetMode="External"/><Relationship Id="rId120" Type="http://schemas.openxmlformats.org/officeDocument/2006/relationships/hyperlink" Target="https://maps.google.com/?q=27.1733817,49.5774783" TargetMode="External"/><Relationship Id="rId358" Type="http://schemas.openxmlformats.org/officeDocument/2006/relationships/hyperlink" Target="https://maps.google.com/?q=26.536885,50.0254317" TargetMode="External"/><Relationship Id="rId565" Type="http://schemas.openxmlformats.org/officeDocument/2006/relationships/hyperlink" Target="https://maps.google.com/?q=26.3977082,50.0834351" TargetMode="External"/><Relationship Id="rId772" Type="http://schemas.openxmlformats.org/officeDocument/2006/relationships/hyperlink" Target="https://maps.google.com/?q=26.3662983,50.061135" TargetMode="External"/><Relationship Id="rId218" Type="http://schemas.openxmlformats.org/officeDocument/2006/relationships/hyperlink" Target="https://maps.google.com/?q=26.635425,49.9167617" TargetMode="External"/><Relationship Id="rId425" Type="http://schemas.openxmlformats.org/officeDocument/2006/relationships/hyperlink" Target="https://maps.google.com/?q=26.4591592,50.0799536" TargetMode="External"/><Relationship Id="rId632" Type="http://schemas.openxmlformats.org/officeDocument/2006/relationships/hyperlink" Target="https://maps.google.com/?q=26.1877583,50.1822333" TargetMode="External"/><Relationship Id="rId271" Type="http://schemas.openxmlformats.org/officeDocument/2006/relationships/hyperlink" Target="https://maps.google.com/?q=26.7072685,50.0706588" TargetMode="External"/><Relationship Id="rId66" Type="http://schemas.openxmlformats.org/officeDocument/2006/relationships/hyperlink" Target="https://maps.google.com/?q=26.432804107666016,50.04411315917969" TargetMode="External"/><Relationship Id="rId131" Type="http://schemas.openxmlformats.org/officeDocument/2006/relationships/hyperlink" Target="https://maps.google.com/?q=27.1715778,49.5337811" TargetMode="External"/><Relationship Id="rId369" Type="http://schemas.openxmlformats.org/officeDocument/2006/relationships/hyperlink" Target="https://maps.google.com/?q=26.494245,50.035365" TargetMode="External"/><Relationship Id="rId576" Type="http://schemas.openxmlformats.org/officeDocument/2006/relationships/hyperlink" Target="https://maps.google.com/?q=26.4124773,50.078682" TargetMode="External"/><Relationship Id="rId783" Type="http://schemas.openxmlformats.org/officeDocument/2006/relationships/hyperlink" Target="https://maps.google.com/?q=26.3730458,50.0911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002"/>
  <sheetViews>
    <sheetView rightToLeft="1" tabSelected="1" topLeftCell="A219" zoomScaleNormal="100" workbookViewId="0">
      <selection activeCell="I173" sqref="I173:I771"/>
    </sheetView>
  </sheetViews>
  <sheetFormatPr defaultColWidth="12.5703125" defaultRowHeight="15.75" customHeight="1"/>
  <cols>
    <col min="4" max="4" width="21.42578125" customWidth="1"/>
    <col min="5" max="5" width="28.42578125" customWidth="1"/>
    <col min="6" max="6" width="56.7109375" customWidth="1"/>
    <col min="7" max="8" width="24.42578125" customWidth="1"/>
    <col min="9" max="9" width="15.42578125" customWidth="1"/>
    <col min="10" max="10" width="22.140625" customWidth="1"/>
    <col min="13" max="13" width="27.42578125" customWidth="1"/>
    <col min="14" max="14" width="26.7109375" customWidth="1"/>
  </cols>
  <sheetData>
    <row r="1" spans="1:15" ht="15.75" customHeight="1" thickTop="1" thickBot="1">
      <c r="A1" s="1"/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3594</v>
      </c>
      <c r="H1" s="21" t="s">
        <v>3595</v>
      </c>
      <c r="I1" s="21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3" t="s">
        <v>10</v>
      </c>
      <c r="O1" s="4" t="s">
        <v>11</v>
      </c>
    </row>
    <row r="2" spans="1:15" ht="20.100000000000001" customHeight="1" thickTop="1" thickBot="1">
      <c r="A2" s="1"/>
      <c r="B2" s="22">
        <v>1</v>
      </c>
      <c r="C2" s="22" t="s">
        <v>12</v>
      </c>
      <c r="D2" s="22" t="s">
        <v>13</v>
      </c>
      <c r="E2" s="22" t="s">
        <v>14</v>
      </c>
      <c r="F2" s="22" t="str">
        <f ca="1">IFERROR(__xludf.DUMMYFUNCTION("GOOGLETRANSLATE(E2,""ar"",""en"")"),"Madar Catering")</f>
        <v>Madar Catering</v>
      </c>
      <c r="G2" s="22" t="s">
        <v>3581</v>
      </c>
      <c r="H2" s="24" t="s">
        <v>3587</v>
      </c>
      <c r="I2" s="22" t="s">
        <v>15</v>
      </c>
      <c r="J2" s="5" t="str">
        <f ca="1">IFERROR(__xludf.DUMMYFUNCTION("GOOGLETRANSLATE(G2,""ar"",""en"")"),"Al Faisaliyah neighborhood")</f>
        <v>Al Faisaliyah neighborhood</v>
      </c>
      <c r="K2" s="5">
        <v>544189552</v>
      </c>
      <c r="L2" s="5"/>
      <c r="M2" s="5" t="str">
        <f ca="1">IFERROR(__xludf.DUMMYFUNCTION("GOOGLETRANSLATE(J2,""ar"",""en"")"),"#VALUE!")</f>
        <v>#VALUE!</v>
      </c>
      <c r="N2" s="6" t="s">
        <v>16</v>
      </c>
      <c r="O2" s="7" t="s">
        <v>17</v>
      </c>
    </row>
    <row r="3" spans="1:15" ht="20.100000000000001" customHeight="1" thickTop="1" thickBot="1">
      <c r="A3" s="1"/>
      <c r="B3" s="22">
        <v>2</v>
      </c>
      <c r="C3" s="22" t="s">
        <v>18</v>
      </c>
      <c r="D3" s="22" t="s">
        <v>13</v>
      </c>
      <c r="E3" s="22" t="s">
        <v>19</v>
      </c>
      <c r="F3" s="22" t="str">
        <f ca="1">IFERROR(__xludf.DUMMYFUNCTION("GOOGLETRANSLATE(E3,""ar"",""en"")"),"Tal'at Al-Khairat Company")</f>
        <v>Tal'at Al-Khairat Company</v>
      </c>
      <c r="G3" s="22" t="s">
        <v>3581</v>
      </c>
      <c r="H3" s="24" t="s">
        <v>3587</v>
      </c>
      <c r="I3" s="22" t="s">
        <v>15</v>
      </c>
      <c r="J3" s="5" t="str">
        <f ca="1">IFERROR(__xludf.DUMMYFUNCTION("GOOGLETRANSLATE(G3,""ar"",""en"")"),"Al Faisaliyah neighborhood")</f>
        <v>Al Faisaliyah neighborhood</v>
      </c>
      <c r="K3" s="5">
        <v>532766145</v>
      </c>
      <c r="L3" s="5" t="s">
        <v>20</v>
      </c>
      <c r="M3" s="5" t="str">
        <f ca="1">IFERROR(__xludf.DUMMYFUNCTION("GOOGLETRANSLATE(J3,""ar"",""en"")"),"Ali Ali")</f>
        <v>Ali Ali</v>
      </c>
      <c r="N3" s="6" t="s">
        <v>21</v>
      </c>
      <c r="O3" s="8" t="s">
        <v>22</v>
      </c>
    </row>
    <row r="4" spans="1:15" ht="20.100000000000001" customHeight="1" thickTop="1" thickBot="1">
      <c r="A4" s="1"/>
      <c r="B4" s="22">
        <v>3</v>
      </c>
      <c r="C4" s="22" t="s">
        <v>23</v>
      </c>
      <c r="D4" s="22" t="s">
        <v>13</v>
      </c>
      <c r="E4" s="22" t="s">
        <v>24</v>
      </c>
      <c r="F4" s="22" t="str">
        <f ca="1">IFERROR(__xludf.DUMMYFUNCTION("GOOGLETRANSLATE(E4,""ar"",""en"")"),"Al Faisaliah Foods")</f>
        <v>Al Faisaliah Foods</v>
      </c>
      <c r="G4" s="22" t="s">
        <v>3581</v>
      </c>
      <c r="H4" s="24" t="s">
        <v>3587</v>
      </c>
      <c r="I4" s="22" t="s">
        <v>15</v>
      </c>
      <c r="J4" s="5" t="str">
        <f ca="1">IFERROR(__xludf.DUMMYFUNCTION("GOOGLETRANSLATE(G4,""ar"",""en"")"),"Al Faisaliyah neighborhood")</f>
        <v>Al Faisaliyah neighborhood</v>
      </c>
      <c r="K4" s="5">
        <v>551085568</v>
      </c>
      <c r="L4" s="5" t="s">
        <v>25</v>
      </c>
      <c r="M4" s="5" t="str">
        <f ca="1">IFERROR(__xludf.DUMMYFUNCTION("GOOGLETRANSLATE(J4,""ar"",""en"")"),"Mohammed Al-Sabahi")</f>
        <v>Mohammed Al-Sabahi</v>
      </c>
      <c r="N4" s="6" t="s">
        <v>26</v>
      </c>
      <c r="O4" s="8" t="s">
        <v>27</v>
      </c>
    </row>
    <row r="5" spans="1:15" ht="20.100000000000001" customHeight="1" thickTop="1" thickBot="1">
      <c r="A5" s="1"/>
      <c r="B5" s="22">
        <v>4</v>
      </c>
      <c r="C5" s="22" t="s">
        <v>28</v>
      </c>
      <c r="D5" s="22" t="s">
        <v>13</v>
      </c>
      <c r="E5" s="22" t="s">
        <v>3695</v>
      </c>
      <c r="F5" s="22" t="str">
        <f ca="1">IFERROR(__xludf.DUMMYFUNCTION("GOOGLETRANSLATE(E5,""ar"",""en"")"),"Pearl of the heart")</f>
        <v>Pearl of the heart</v>
      </c>
      <c r="G5" s="22" t="s">
        <v>3581</v>
      </c>
      <c r="H5" s="24" t="s">
        <v>3587</v>
      </c>
      <c r="I5" s="22" t="s">
        <v>15</v>
      </c>
      <c r="J5" s="5" t="str">
        <f ca="1">IFERROR(__xludf.DUMMYFUNCTION("GOOGLETRANSLATE(G5,""ar"",""en"")"),"Al Faisaliyah neighborhood")</f>
        <v>Al Faisaliyah neighborhood</v>
      </c>
      <c r="K5" s="5">
        <v>567118805</v>
      </c>
      <c r="L5" s="5" t="s">
        <v>29</v>
      </c>
      <c r="M5" s="5" t="str">
        <f ca="1">IFERROR(__xludf.DUMMYFUNCTION("GOOGLETRANSLATE(J5,""ar"",""en"")"),"Noor")</f>
        <v>Noor</v>
      </c>
      <c r="N5" s="6" t="s">
        <v>30</v>
      </c>
      <c r="O5" s="8" t="s">
        <v>31</v>
      </c>
    </row>
    <row r="6" spans="1:15" ht="20.100000000000001" customHeight="1" thickTop="1" thickBot="1">
      <c r="A6" s="1"/>
      <c r="B6" s="22">
        <v>5</v>
      </c>
      <c r="C6" s="22" t="s">
        <v>32</v>
      </c>
      <c r="D6" s="22" t="s">
        <v>13</v>
      </c>
      <c r="E6" s="22" t="s">
        <v>33</v>
      </c>
      <c r="F6" s="22" t="str">
        <f ca="1">IFERROR(__xludf.DUMMYFUNCTION("GOOGLETRANSLATE(E6,""ar"",""en"")"),"Al-Fath Markets")</f>
        <v>Al-Fath Markets</v>
      </c>
      <c r="G6" s="22" t="s">
        <v>3581</v>
      </c>
      <c r="H6" s="24" t="s">
        <v>3587</v>
      </c>
      <c r="I6" s="22" t="s">
        <v>15</v>
      </c>
      <c r="J6" s="5" t="str">
        <f ca="1">IFERROR(__xludf.DUMMYFUNCTION("GOOGLETRANSLATE(G6,""ar"",""en"")"),"Al Faisaliyah neighborhood")</f>
        <v>Al Faisaliyah neighborhood</v>
      </c>
      <c r="K6" s="5">
        <v>537874672</v>
      </c>
      <c r="L6" s="5" t="s">
        <v>34</v>
      </c>
      <c r="M6" s="5" t="str">
        <f ca="1">IFERROR(__xludf.DUMMYFUNCTION("GOOGLETRANSLATE(J6,""ar"",""en"")"),"Shukri")</f>
        <v>Shukri</v>
      </c>
      <c r="N6" s="6" t="s">
        <v>35</v>
      </c>
      <c r="O6" s="7" t="s">
        <v>36</v>
      </c>
    </row>
    <row r="7" spans="1:15" ht="20.100000000000001" customHeight="1" thickTop="1" thickBot="1">
      <c r="A7" s="1"/>
      <c r="B7" s="22">
        <v>6</v>
      </c>
      <c r="C7" s="22" t="s">
        <v>37</v>
      </c>
      <c r="D7" s="22" t="s">
        <v>13</v>
      </c>
      <c r="E7" s="22" t="s">
        <v>38</v>
      </c>
      <c r="F7" s="22" t="str">
        <f ca="1">IFERROR(__xludf.DUMMYFUNCTION("GOOGLETRANSLATE(E7,""ar"",""en"")"),"Sky markets of my country")</f>
        <v>Sky markets of my country</v>
      </c>
      <c r="G7" s="22" t="s">
        <v>3581</v>
      </c>
      <c r="H7" s="24" t="s">
        <v>3587</v>
      </c>
      <c r="I7" s="22" t="s">
        <v>15</v>
      </c>
      <c r="J7" s="5" t="str">
        <f ca="1">IFERROR(__xludf.DUMMYFUNCTION("GOOGLETRANSLATE(G7,""ar"",""en"")"),"Al Faisaliyah neighborhood")</f>
        <v>Al Faisaliyah neighborhood</v>
      </c>
      <c r="K7" s="5">
        <v>555866071</v>
      </c>
      <c r="L7" s="5" t="s">
        <v>39</v>
      </c>
      <c r="M7" s="5" t="str">
        <f ca="1">IFERROR(__xludf.DUMMYFUNCTION("GOOGLETRANSLATE(J7,""ar"",""en"")"),"Abu Bandar Al-Harthi")</f>
        <v>Abu Bandar Al-Harthi</v>
      </c>
      <c r="N7" s="6" t="s">
        <v>40</v>
      </c>
      <c r="O7" s="8" t="s">
        <v>41</v>
      </c>
    </row>
    <row r="8" spans="1:15" ht="20.100000000000001" customHeight="1" thickTop="1" thickBot="1">
      <c r="A8" s="1"/>
      <c r="B8" s="22">
        <v>7</v>
      </c>
      <c r="C8" s="22" t="s">
        <v>42</v>
      </c>
      <c r="D8" s="22" t="s">
        <v>13</v>
      </c>
      <c r="E8" s="22" t="s">
        <v>19</v>
      </c>
      <c r="F8" s="22" t="str">
        <f ca="1">IFERROR(__xludf.DUMMYFUNCTION("GOOGLETRANSLATE(E8,""ar"",""en"")"),"Tal'at Al-Khairat Company")</f>
        <v>Tal'at Al-Khairat Company</v>
      </c>
      <c r="G8" s="22" t="s">
        <v>3581</v>
      </c>
      <c r="H8" s="24" t="s">
        <v>3587</v>
      </c>
      <c r="I8" s="22" t="s">
        <v>15</v>
      </c>
      <c r="J8" s="5" t="str">
        <f ca="1">IFERROR(__xludf.DUMMYFUNCTION("GOOGLETRANSLATE(G8,""ar"",""en"")"),"Al Faisaliyah neighborhood")</f>
        <v>Al Faisaliyah neighborhood</v>
      </c>
      <c r="K8" s="5">
        <v>578719740</v>
      </c>
      <c r="L8" s="5" t="s">
        <v>43</v>
      </c>
      <c r="M8" s="5" t="str">
        <f ca="1">IFERROR(__xludf.DUMMYFUNCTION("GOOGLETRANSLATE(J8,""ar"",""en"")"),"Abdulaziz")</f>
        <v>Abdulaziz</v>
      </c>
      <c r="N8" s="6" t="s">
        <v>44</v>
      </c>
      <c r="O8" s="7" t="s">
        <v>45</v>
      </c>
    </row>
    <row r="9" spans="1:15" ht="20.100000000000001" customHeight="1" thickTop="1" thickBot="1">
      <c r="A9" s="1"/>
      <c r="B9" s="22">
        <v>8</v>
      </c>
      <c r="C9" s="22" t="s">
        <v>46</v>
      </c>
      <c r="D9" s="22" t="s">
        <v>13</v>
      </c>
      <c r="E9" s="22" t="s">
        <v>47</v>
      </c>
      <c r="F9" s="22" t="str">
        <f ca="1">IFERROR(__xludf.DUMMYFUNCTION("GOOGLETRANSLATE(E9,""ar"",""en"")"),"Mohammed's Supplies")</f>
        <v>Mohammed's Supplies</v>
      </c>
      <c r="G9" s="22" t="s">
        <v>3581</v>
      </c>
      <c r="H9" s="24" t="s">
        <v>3587</v>
      </c>
      <c r="I9" s="22" t="s">
        <v>15</v>
      </c>
      <c r="J9" s="5" t="str">
        <f ca="1">IFERROR(__xludf.DUMMYFUNCTION("GOOGLETRANSLATE(G9,""ar"",""en"")"),"Al Faisaliyah neighborhood")</f>
        <v>Al Faisaliyah neighborhood</v>
      </c>
      <c r="K9" s="5">
        <v>503621935</v>
      </c>
      <c r="L9" s="5"/>
      <c r="M9" s="5" t="str">
        <f ca="1">IFERROR(__xludf.DUMMYFUNCTION("GOOGLETRANSLATE(J9,""ar"",""en"")"),"#VALUE!")</f>
        <v>#VALUE!</v>
      </c>
      <c r="N9" s="6" t="s">
        <v>48</v>
      </c>
      <c r="O9" s="8" t="s">
        <v>49</v>
      </c>
    </row>
    <row r="10" spans="1:15" ht="20.100000000000001" customHeight="1" thickTop="1" thickBot="1">
      <c r="A10" s="1"/>
      <c r="B10" s="22">
        <v>9</v>
      </c>
      <c r="C10" s="22" t="s">
        <v>50</v>
      </c>
      <c r="D10" s="22" t="s">
        <v>13</v>
      </c>
      <c r="E10" s="22" t="s">
        <v>51</v>
      </c>
      <c r="F10" s="22" t="str">
        <f ca="1">IFERROR(__xludf.DUMMYFUNCTION("GOOGLETRANSLATE(E10,""ar"",""en"")"),"Consumer Guide Supplies")</f>
        <v>Consumer Guide Supplies</v>
      </c>
      <c r="G10" s="22" t="s">
        <v>3581</v>
      </c>
      <c r="H10" s="24" t="s">
        <v>3587</v>
      </c>
      <c r="I10" s="22" t="s">
        <v>15</v>
      </c>
      <c r="J10" s="5" t="str">
        <f ca="1">IFERROR(__xludf.DUMMYFUNCTION("GOOGLETRANSLATE(G10,""ar"",""en"")"),"Al Faisaliyah neighborhood")</f>
        <v>Al Faisaliyah neighborhood</v>
      </c>
      <c r="K10" s="5">
        <v>595365387</v>
      </c>
      <c r="L10" s="5" t="s">
        <v>52</v>
      </c>
      <c r="M10" s="5" t="str">
        <f ca="1">IFERROR(__xludf.DUMMYFUNCTION("GOOGLETRANSLATE(J10,""ar"",""en"")"),"Muhammad Iqbal")</f>
        <v>Muhammad Iqbal</v>
      </c>
      <c r="N10" s="6" t="s">
        <v>53</v>
      </c>
      <c r="O10" s="8" t="s">
        <v>54</v>
      </c>
    </row>
    <row r="11" spans="1:15" ht="20.100000000000001" customHeight="1" thickTop="1" thickBot="1">
      <c r="A11" s="1"/>
      <c r="B11" s="22">
        <v>10</v>
      </c>
      <c r="C11" s="22" t="s">
        <v>55</v>
      </c>
      <c r="D11" s="22" t="s">
        <v>13</v>
      </c>
      <c r="E11" s="22" t="s">
        <v>56</v>
      </c>
      <c r="F11" s="22" t="str">
        <f ca="1">IFERROR(__xludf.DUMMYFUNCTION("GOOGLETRANSLATE(E11,""ar"",""en"")"),"Al-Hajri Provisions")</f>
        <v>Al-Hajri Provisions</v>
      </c>
      <c r="G11" s="22" t="s">
        <v>3581</v>
      </c>
      <c r="H11" s="24" t="s">
        <v>3587</v>
      </c>
      <c r="I11" s="22" t="s">
        <v>15</v>
      </c>
      <c r="J11" s="5" t="str">
        <f ca="1">IFERROR(__xludf.DUMMYFUNCTION("GOOGLETRANSLATE(G11,""ar"",""en"")"),"Al Faisaliyah neighborhood")</f>
        <v>Al Faisaliyah neighborhood</v>
      </c>
      <c r="K11" s="5">
        <v>551619990</v>
      </c>
      <c r="L11" s="5" t="s">
        <v>57</v>
      </c>
      <c r="M11" s="5" t="str">
        <f ca="1">IFERROR(__xludf.DUMMYFUNCTION("GOOGLETRANSLATE(J11,""ar"",""en"")"),"Omar Al-Muraisi")</f>
        <v>Omar Al-Muraisi</v>
      </c>
      <c r="N11" s="6" t="s">
        <v>58</v>
      </c>
      <c r="O11" s="8" t="s">
        <v>59</v>
      </c>
    </row>
    <row r="12" spans="1:15" ht="20.100000000000001" customHeight="1" thickTop="1" thickBot="1">
      <c r="A12" s="1"/>
      <c r="B12" s="22">
        <v>11</v>
      </c>
      <c r="C12" s="22" t="s">
        <v>60</v>
      </c>
      <c r="D12" s="22" t="s">
        <v>13</v>
      </c>
      <c r="E12" s="22" t="s">
        <v>61</v>
      </c>
      <c r="F12" s="22" t="str">
        <f ca="1">IFERROR(__xludf.DUMMYFUNCTION("GOOGLETRANSLATE(E12,""ar"",""en"")"),"Z Markets")</f>
        <v>Z Markets</v>
      </c>
      <c r="G12" s="22" t="s">
        <v>3581</v>
      </c>
      <c r="H12" s="24" t="s">
        <v>3587</v>
      </c>
      <c r="I12" s="22" t="s">
        <v>62</v>
      </c>
      <c r="J12" s="5" t="str">
        <f ca="1">IFERROR(__xludf.DUMMYFUNCTION("GOOGLETRANSLATE(G12,""ar"",""en"")"),"Al-Manar neighborhood")</f>
        <v>Al-Manar neighborhood</v>
      </c>
      <c r="K12" s="5">
        <v>530409445</v>
      </c>
      <c r="L12" s="5" t="s">
        <v>63</v>
      </c>
      <c r="M12" s="5" t="str">
        <f ca="1">IFERROR(__xludf.DUMMYFUNCTION("GOOGLETRANSLATE(J12,""ar"",""en"")"),"fixed")</f>
        <v>fixed</v>
      </c>
      <c r="N12" s="6" t="s">
        <v>64</v>
      </c>
      <c r="O12" s="8" t="s">
        <v>65</v>
      </c>
    </row>
    <row r="13" spans="1:15" ht="20.100000000000001" customHeight="1" thickTop="1" thickBot="1">
      <c r="A13" s="1"/>
      <c r="B13" s="22">
        <v>12</v>
      </c>
      <c r="C13" s="22" t="s">
        <v>66</v>
      </c>
      <c r="D13" s="22" t="s">
        <v>13</v>
      </c>
      <c r="E13" s="22" t="s">
        <v>67</v>
      </c>
      <c r="F13" s="22" t="str">
        <f ca="1">IFERROR(__xludf.DUMMYFUNCTION("GOOGLETRANSLATE(E13,""ar"",""en"")"),"Barq Al-Ma'rifah Supplies")</f>
        <v>Barq Al-Ma'rifah Supplies</v>
      </c>
      <c r="G13" s="22" t="s">
        <v>3581</v>
      </c>
      <c r="H13" s="24" t="s">
        <v>3587</v>
      </c>
      <c r="I13" s="22" t="s">
        <v>62</v>
      </c>
      <c r="J13" s="5" t="str">
        <f ca="1">IFERROR(__xludf.DUMMYFUNCTION("GOOGLETRANSLATE(G13,""ar"",""en"")"),"Al-Manar neighborhood")</f>
        <v>Al-Manar neighborhood</v>
      </c>
      <c r="K13" s="5">
        <v>534378292</v>
      </c>
      <c r="L13" s="5" t="s">
        <v>68</v>
      </c>
      <c r="M13" s="5" t="str">
        <f ca="1">IFERROR(__xludf.DUMMYFUNCTION("GOOGLETRANSLATE(J13,""ar"",""en"")"),"Sufyan al-Tamimi")</f>
        <v>Sufyan al-Tamimi</v>
      </c>
      <c r="N13" s="6" t="s">
        <v>69</v>
      </c>
      <c r="O13" s="8" t="s">
        <v>70</v>
      </c>
    </row>
    <row r="14" spans="1:15" ht="20.100000000000001" customHeight="1" thickTop="1" thickBot="1">
      <c r="A14" s="1"/>
      <c r="B14" s="22">
        <v>13</v>
      </c>
      <c r="C14" s="22" t="s">
        <v>71</v>
      </c>
      <c r="D14" s="22" t="s">
        <v>13</v>
      </c>
      <c r="E14" s="22" t="s">
        <v>72</v>
      </c>
      <c r="F14" s="22" t="str">
        <f ca="1">IFERROR(__xludf.DUMMYFUNCTION("GOOGLETRANSLATE(E14,""ar"",""en"")"),"Rabia Basket Supplies")</f>
        <v>Rabia Basket Supplies</v>
      </c>
      <c r="G14" s="22" t="s">
        <v>3581</v>
      </c>
      <c r="H14" s="24" t="s">
        <v>3587</v>
      </c>
      <c r="I14" s="22" t="s">
        <v>62</v>
      </c>
      <c r="J14" s="5" t="str">
        <f ca="1">IFERROR(__xludf.DUMMYFUNCTION("GOOGLETRANSLATE(G14,""ar"",""en"")"),"Al-Manar neighborhood")</f>
        <v>Al-Manar neighborhood</v>
      </c>
      <c r="K14" s="5">
        <v>553702527</v>
      </c>
      <c r="L14" s="5" t="s">
        <v>73</v>
      </c>
      <c r="M14" s="5" t="str">
        <f ca="1">IFERROR(__xludf.DUMMYFUNCTION("GOOGLETRANSLATE(J14,""ar"",""en"")"),"Abu Mazen")</f>
        <v>Abu Mazen</v>
      </c>
      <c r="N14" s="6" t="s">
        <v>74</v>
      </c>
      <c r="O14" s="8" t="s">
        <v>75</v>
      </c>
    </row>
    <row r="15" spans="1:15" ht="20.100000000000001" customHeight="1" thickTop="1" thickBot="1">
      <c r="A15" s="1"/>
      <c r="B15" s="22">
        <v>14</v>
      </c>
      <c r="C15" s="22" t="s">
        <v>76</v>
      </c>
      <c r="D15" s="22" t="s">
        <v>13</v>
      </c>
      <c r="E15" s="22" t="s">
        <v>77</v>
      </c>
      <c r="F15" s="22" t="str">
        <f ca="1">IFERROR(__xludf.DUMMYFUNCTION("GOOGLETRANSLATE(E15,""ar"",""en"")"),"Sky Consumer Central Markets")</f>
        <v>Sky Consumer Central Markets</v>
      </c>
      <c r="G15" s="22" t="s">
        <v>3581</v>
      </c>
      <c r="H15" s="24" t="s">
        <v>3587</v>
      </c>
      <c r="I15" s="22" t="s">
        <v>62</v>
      </c>
      <c r="J15" s="5" t="str">
        <f ca="1">IFERROR(__xludf.DUMMYFUNCTION("GOOGLETRANSLATE(G15,""ar"",""en"")"),"Al-Manar neighborhood")</f>
        <v>Al-Manar neighborhood</v>
      </c>
      <c r="K15" s="5">
        <v>556318354</v>
      </c>
      <c r="L15" s="5" t="s">
        <v>78</v>
      </c>
      <c r="M15" s="5" t="str">
        <f ca="1">IFERROR(__xludf.DUMMYFUNCTION("GOOGLETRANSLATE(J15,""ar"",""en"")"),"Abdullah")</f>
        <v>Abdullah</v>
      </c>
      <c r="N15" s="6" t="s">
        <v>79</v>
      </c>
      <c r="O15" s="8" t="s">
        <v>80</v>
      </c>
    </row>
    <row r="16" spans="1:15" ht="20.100000000000001" customHeight="1" thickTop="1" thickBot="1">
      <c r="A16" s="1"/>
      <c r="B16" s="22">
        <v>15</v>
      </c>
      <c r="C16" s="22" t="s">
        <v>81</v>
      </c>
      <c r="D16" s="22" t="s">
        <v>13</v>
      </c>
      <c r="E16" s="22" t="s">
        <v>82</v>
      </c>
      <c r="F16" s="22" t="str">
        <f ca="1">IFERROR(__xludf.DUMMYFUNCTION("GOOGLETRANSLATE(E16,""ar"",""en"")"),"Zad Al Tawfeer Markets")</f>
        <v>Zad Al Tawfeer Markets</v>
      </c>
      <c r="G16" s="22" t="s">
        <v>3581</v>
      </c>
      <c r="H16" s="24" t="s">
        <v>3587</v>
      </c>
      <c r="I16" s="22" t="s">
        <v>62</v>
      </c>
      <c r="J16" s="5" t="str">
        <f ca="1">IFERROR(__xludf.DUMMYFUNCTION("GOOGLETRANSLATE(G16,""ar"",""en"")"),"Al-Manar neighborhood")</f>
        <v>Al-Manar neighborhood</v>
      </c>
      <c r="K16" s="5">
        <v>534866203</v>
      </c>
      <c r="L16" s="5" t="s">
        <v>83</v>
      </c>
      <c r="M16" s="5" t="str">
        <f ca="1">IFERROR(__xludf.DUMMYFUNCTION("GOOGLETRANSLATE(J16,""ar"",""en"")"),"on")</f>
        <v>on</v>
      </c>
      <c r="N16" s="6" t="s">
        <v>84</v>
      </c>
      <c r="O16" s="8" t="s">
        <v>85</v>
      </c>
    </row>
    <row r="17" spans="1:15" ht="20.100000000000001" customHeight="1" thickTop="1" thickBot="1">
      <c r="A17" s="1"/>
      <c r="B17" s="22">
        <v>16</v>
      </c>
      <c r="C17" s="22" t="s">
        <v>86</v>
      </c>
      <c r="D17" s="22" t="s">
        <v>13</v>
      </c>
      <c r="E17" s="22" t="s">
        <v>87</v>
      </c>
      <c r="F17" s="22" t="str">
        <f ca="1">IFERROR(__xludf.DUMMYFUNCTION("GOOGLETRANSLATE(E17,""ar"",""en"")"),"Rabee Al-Saman Supplies")</f>
        <v>Rabee Al-Saman Supplies</v>
      </c>
      <c r="G17" s="22" t="s">
        <v>3581</v>
      </c>
      <c r="H17" s="24" t="s">
        <v>3587</v>
      </c>
      <c r="I17" s="22" t="s">
        <v>62</v>
      </c>
      <c r="J17" s="5" t="str">
        <f ca="1">IFERROR(__xludf.DUMMYFUNCTION("GOOGLETRANSLATE(G17,""ar"",""en"")"),"Al-Manar neighborhood")</f>
        <v>Al-Manar neighborhood</v>
      </c>
      <c r="K17" s="5">
        <v>508557789</v>
      </c>
      <c r="L17" s="5" t="s">
        <v>88</v>
      </c>
      <c r="M17" s="5" t="str">
        <f ca="1">IFERROR(__xludf.DUMMYFUNCTION("GOOGLETRANSLATE(J17,""ar"",""en"")"),"supporter")</f>
        <v>supporter</v>
      </c>
      <c r="N17" s="6" t="s">
        <v>89</v>
      </c>
      <c r="O17" s="8" t="s">
        <v>90</v>
      </c>
    </row>
    <row r="18" spans="1:15" ht="20.100000000000001" customHeight="1" thickTop="1" thickBot="1">
      <c r="A18" s="1"/>
      <c r="B18" s="22">
        <v>17</v>
      </c>
      <c r="C18" s="22" t="s">
        <v>91</v>
      </c>
      <c r="D18" s="22" t="s">
        <v>13</v>
      </c>
      <c r="E18" s="22" t="s">
        <v>92</v>
      </c>
      <c r="F18" s="22" t="str">
        <f ca="1">IFERROR(__xludf.DUMMYFUNCTION("GOOGLETRANSLATE(E18,""ar"",""en"")"),"Rural Palm Foundation")</f>
        <v>Rural Palm Foundation</v>
      </c>
      <c r="G18" s="22" t="s">
        <v>3581</v>
      </c>
      <c r="H18" s="24" t="s">
        <v>3587</v>
      </c>
      <c r="I18" s="22" t="s">
        <v>62</v>
      </c>
      <c r="J18" s="5" t="str">
        <f ca="1">IFERROR(__xludf.DUMMYFUNCTION("GOOGLETRANSLATE(G18,""ar"",""en"")"),"Al-Manar neighborhood")</f>
        <v>Al-Manar neighborhood</v>
      </c>
      <c r="K18" s="5">
        <v>543799044</v>
      </c>
      <c r="L18" s="5" t="s">
        <v>93</v>
      </c>
      <c r="M18" s="5" t="str">
        <f ca="1">IFERROR(__xludf.DUMMYFUNCTION("GOOGLETRANSLATE(J18,""ar"",""en"")"),"Abu Musa")</f>
        <v>Abu Musa</v>
      </c>
      <c r="N18" s="6" t="s">
        <v>94</v>
      </c>
      <c r="O18" s="8" t="s">
        <v>95</v>
      </c>
    </row>
    <row r="19" spans="1:15" ht="20.100000000000001" customHeight="1" thickTop="1" thickBot="1">
      <c r="A19" s="1"/>
      <c r="B19" s="22">
        <v>18</v>
      </c>
      <c r="C19" s="22" t="s">
        <v>96</v>
      </c>
      <c r="D19" s="22" t="s">
        <v>13</v>
      </c>
      <c r="E19" s="22" t="s">
        <v>97</v>
      </c>
      <c r="F19" s="22" t="str">
        <f ca="1">IFERROR(__xludf.DUMMYFUNCTION("GOOGLETRANSLATE(E19,""ar"",""en"")"),"Hamat Supplies")</f>
        <v>Hamat Supplies</v>
      </c>
      <c r="G19" s="22" t="s">
        <v>3581</v>
      </c>
      <c r="H19" s="24" t="s">
        <v>3587</v>
      </c>
      <c r="I19" s="22" t="s">
        <v>62</v>
      </c>
      <c r="J19" s="5" t="str">
        <f ca="1">IFERROR(__xludf.DUMMYFUNCTION("GOOGLETRANSLATE(G19,""ar"",""en"")"),"Al-Manar neighborhood")</f>
        <v>Al-Manar neighborhood</v>
      </c>
      <c r="K19" s="5">
        <v>500348364</v>
      </c>
      <c r="L19" s="5" t="s">
        <v>98</v>
      </c>
      <c r="M19" s="5" t="str">
        <f ca="1">IFERROR(__xludf.DUMMYFUNCTION("GOOGLETRANSLATE(J19,""ar"",""en"")"),"Salman")</f>
        <v>Salman</v>
      </c>
      <c r="N19" s="6" t="s">
        <v>99</v>
      </c>
      <c r="O19" s="8" t="s">
        <v>100</v>
      </c>
    </row>
    <row r="20" spans="1:15" ht="20.100000000000001" customHeight="1" thickTop="1" thickBot="1">
      <c r="A20" s="1"/>
      <c r="B20" s="22">
        <v>19</v>
      </c>
      <c r="C20" s="22" t="s">
        <v>101</v>
      </c>
      <c r="D20" s="22" t="s">
        <v>13</v>
      </c>
      <c r="E20" s="22" t="s">
        <v>102</v>
      </c>
      <c r="F20" s="22" t="str">
        <f ca="1">IFERROR(__xludf.DUMMYFUNCTION("GOOGLETRANSLATE(E20,""ar"",""en"")"),"Shalal Al-Ghair Supplies")</f>
        <v>Shalal Al-Ghair Supplies</v>
      </c>
      <c r="G20" s="22" t="s">
        <v>3581</v>
      </c>
      <c r="H20" s="24" t="s">
        <v>3587</v>
      </c>
      <c r="I20" s="22" t="s">
        <v>62</v>
      </c>
      <c r="J20" s="5" t="str">
        <f ca="1">IFERROR(__xludf.DUMMYFUNCTION("GOOGLETRANSLATE(G20,""ar"",""en"")"),"Al-Manar neighborhood")</f>
        <v>Al-Manar neighborhood</v>
      </c>
      <c r="K20" s="5">
        <v>535062983</v>
      </c>
      <c r="L20" s="5" t="s">
        <v>103</v>
      </c>
      <c r="M20" s="5" t="str">
        <f ca="1">IFERROR(__xludf.DUMMYFUNCTION("GOOGLETRANSLATE(J20,""ar"",""en"")"),"Salem")</f>
        <v>Salem</v>
      </c>
      <c r="N20" s="6" t="s">
        <v>104</v>
      </c>
      <c r="O20" s="8" t="s">
        <v>105</v>
      </c>
    </row>
    <row r="21" spans="1:15" ht="20.100000000000001" customHeight="1" thickTop="1" thickBot="1">
      <c r="A21" s="1"/>
      <c r="B21" s="22">
        <v>20</v>
      </c>
      <c r="C21" s="22" t="s">
        <v>106</v>
      </c>
      <c r="D21" s="22" t="s">
        <v>13</v>
      </c>
      <c r="E21" s="22" t="s">
        <v>107</v>
      </c>
      <c r="F21" s="22" t="str">
        <f ca="1">IFERROR(__xludf.DUMMYFUNCTION("GOOGLETRANSLATE(E21,""ar"",""en"")"),"Dari Basket Supplies")</f>
        <v>Dari Basket Supplies</v>
      </c>
      <c r="G21" s="22" t="s">
        <v>3581</v>
      </c>
      <c r="H21" s="24" t="s">
        <v>3587</v>
      </c>
      <c r="I21" s="22" t="s">
        <v>62</v>
      </c>
      <c r="J21" s="5" t="str">
        <f ca="1">IFERROR(__xludf.DUMMYFUNCTION("GOOGLETRANSLATE(G21,""ar"",""en"")"),"Al-Manar neighborhood")</f>
        <v>Al-Manar neighborhood</v>
      </c>
      <c r="K21" s="5">
        <v>547824158</v>
      </c>
      <c r="L21" s="5" t="s">
        <v>108</v>
      </c>
      <c r="M21" s="5" t="str">
        <f ca="1">IFERROR(__xludf.DUMMYFUNCTION("GOOGLETRANSLATE(J21,""ar"",""en"")"),"Emon")</f>
        <v>Emon</v>
      </c>
      <c r="N21" s="6" t="s">
        <v>109</v>
      </c>
      <c r="O21" s="8" t="s">
        <v>110</v>
      </c>
    </row>
    <row r="22" spans="1:15" ht="20.100000000000001" customHeight="1" thickTop="1" thickBot="1">
      <c r="A22" s="1"/>
      <c r="B22" s="22">
        <v>21</v>
      </c>
      <c r="C22" s="22" t="s">
        <v>111</v>
      </c>
      <c r="D22" s="22" t="s">
        <v>13</v>
      </c>
      <c r="E22" s="22" t="s">
        <v>112</v>
      </c>
      <c r="F22" s="22" t="str">
        <f ca="1">IFERROR(__xludf.DUMMYFUNCTION("GOOGLETRANSLATE(E22,""ar"",""en"")"),"Al-Manar Network Supplies")</f>
        <v>Al-Manar Network Supplies</v>
      </c>
      <c r="G22" s="22" t="s">
        <v>3581</v>
      </c>
      <c r="H22" s="24" t="s">
        <v>3587</v>
      </c>
      <c r="I22" s="22" t="s">
        <v>62</v>
      </c>
      <c r="J22" s="5" t="str">
        <f ca="1">IFERROR(__xludf.DUMMYFUNCTION("GOOGLETRANSLATE(G22,""ar"",""en"")"),"Al-Manar neighborhood")</f>
        <v>Al-Manar neighborhood</v>
      </c>
      <c r="K22" s="5">
        <v>534137923</v>
      </c>
      <c r="L22" s="5" t="s">
        <v>113</v>
      </c>
      <c r="M22" s="5" t="str">
        <f ca="1">IFERROR(__xludf.DUMMYFUNCTION("GOOGLETRANSLATE(J22,""ar"",""en"")"),"Abu Sand")</f>
        <v>Abu Sand</v>
      </c>
      <c r="N22" s="6" t="s">
        <v>114</v>
      </c>
      <c r="O22" s="8" t="s">
        <v>115</v>
      </c>
    </row>
    <row r="23" spans="1:15" ht="20.100000000000001" customHeight="1" thickTop="1" thickBot="1">
      <c r="A23" s="1"/>
      <c r="B23" s="22">
        <v>22</v>
      </c>
      <c r="C23" s="22" t="s">
        <v>116</v>
      </c>
      <c r="D23" s="22" t="s">
        <v>13</v>
      </c>
      <c r="E23" s="22" t="s">
        <v>117</v>
      </c>
      <c r="F23" s="22" t="str">
        <f ca="1">IFERROR(__xludf.DUMMYFUNCTION("GOOGLETRANSLATE(E23,""ar"",""en"")"),"Basket of Goodness Company")</f>
        <v>Basket of Goodness Company</v>
      </c>
      <c r="G23" s="22" t="s">
        <v>3581</v>
      </c>
      <c r="H23" s="24" t="s">
        <v>3587</v>
      </c>
      <c r="I23" s="22" t="s">
        <v>62</v>
      </c>
      <c r="J23" s="5" t="str">
        <f ca="1">IFERROR(__xludf.DUMMYFUNCTION("GOOGLETRANSLATE(G23,""ar"",""en"")"),"Al-Manar neighborhood")</f>
        <v>Al-Manar neighborhood</v>
      </c>
      <c r="K23" s="5">
        <v>572291023</v>
      </c>
      <c r="L23" s="5" t="s">
        <v>118</v>
      </c>
      <c r="M23" s="5" t="str">
        <f ca="1">IFERROR(__xludf.DUMMYFUNCTION("GOOGLETRANSLATE(J23,""ar"",""en"")"),"Abdul Qadir")</f>
        <v>Abdul Qadir</v>
      </c>
      <c r="N23" s="6" t="s">
        <v>119</v>
      </c>
      <c r="O23" s="8" t="s">
        <v>120</v>
      </c>
    </row>
    <row r="24" spans="1:15" ht="20.100000000000001" customHeight="1" thickTop="1" thickBot="1">
      <c r="A24" s="1"/>
      <c r="B24" s="22">
        <v>23</v>
      </c>
      <c r="C24" s="22" t="s">
        <v>121</v>
      </c>
      <c r="D24" s="22" t="s">
        <v>13</v>
      </c>
      <c r="E24" s="22" t="s">
        <v>122</v>
      </c>
      <c r="F24" s="22" t="str">
        <f ca="1">IFERROR(__xludf.DUMMYFUNCTION("GOOGLETRANSLATE(E24,""ar"",""en"")"),"Top Al Manar Supplies")</f>
        <v>Top Al Manar Supplies</v>
      </c>
      <c r="G24" s="22" t="s">
        <v>3581</v>
      </c>
      <c r="H24" s="24" t="s">
        <v>3587</v>
      </c>
      <c r="I24" s="22" t="s">
        <v>62</v>
      </c>
      <c r="J24" s="5" t="str">
        <f ca="1">IFERROR(__xludf.DUMMYFUNCTION("GOOGLETRANSLATE(G24,""ar"",""en"")"),"Al-Manar neighborhood")</f>
        <v>Al-Manar neighborhood</v>
      </c>
      <c r="K24" s="5">
        <v>530154767</v>
      </c>
      <c r="L24" s="5" t="s">
        <v>123</v>
      </c>
      <c r="M24" s="5" t="str">
        <f ca="1">IFERROR(__xludf.DUMMYFUNCTION("GOOGLETRANSLATE(J24,""ar"",""en"")"),"Awad")</f>
        <v>Awad</v>
      </c>
      <c r="N24" s="6" t="s">
        <v>124</v>
      </c>
      <c r="O24" s="7" t="s">
        <v>125</v>
      </c>
    </row>
    <row r="25" spans="1:15" ht="20.100000000000001" customHeight="1" thickTop="1" thickBot="1">
      <c r="A25" s="1"/>
      <c r="B25" s="22">
        <v>24</v>
      </c>
      <c r="C25" s="22" t="s">
        <v>126</v>
      </c>
      <c r="D25" s="22" t="s">
        <v>13</v>
      </c>
      <c r="E25" s="22" t="s">
        <v>127</v>
      </c>
      <c r="F25" s="22" t="str">
        <f ca="1">IFERROR(__xludf.DUMMYFUNCTION("GOOGLETRANSLATE(E25,""ar"",""en"")"),"Basket of Tastes")</f>
        <v>Basket of Tastes</v>
      </c>
      <c r="G25" s="22" t="s">
        <v>3581</v>
      </c>
      <c r="H25" s="24" t="s">
        <v>3587</v>
      </c>
      <c r="I25" s="22" t="s">
        <v>62</v>
      </c>
      <c r="J25" s="5" t="str">
        <f ca="1">IFERROR(__xludf.DUMMYFUNCTION("GOOGLETRANSLATE(G25,""ar"",""en"")"),"Al-Manar neighborhood")</f>
        <v>Al-Manar neighborhood</v>
      </c>
      <c r="K25" s="5">
        <v>534494200</v>
      </c>
      <c r="L25" s="5" t="s">
        <v>128</v>
      </c>
      <c r="M25" s="5" t="str">
        <f ca="1">IFERROR(__xludf.DUMMYFUNCTION("GOOGLETRANSLATE(J25,""ar"",""en"")"),"Toko")</f>
        <v>Toko</v>
      </c>
      <c r="N25" s="6" t="s">
        <v>129</v>
      </c>
      <c r="O25" s="8" t="s">
        <v>130</v>
      </c>
    </row>
    <row r="26" spans="1:15" ht="20.100000000000001" customHeight="1" thickTop="1" thickBot="1">
      <c r="A26" s="1"/>
      <c r="B26" s="22">
        <v>25</v>
      </c>
      <c r="C26" s="22" t="s">
        <v>131</v>
      </c>
      <c r="D26" s="22" t="s">
        <v>13</v>
      </c>
      <c r="E26" s="22" t="s">
        <v>132</v>
      </c>
      <c r="F26" s="22" t="str">
        <f ca="1">IFERROR(__xludf.DUMMYFUNCTION("GOOGLETRANSLATE(E26,""ar"",""en"")"),"Aisha's Distinguished Catering")</f>
        <v>Aisha's Distinguished Catering</v>
      </c>
      <c r="G26" s="22" t="s">
        <v>3581</v>
      </c>
      <c r="H26" s="24" t="s">
        <v>3587</v>
      </c>
      <c r="I26" s="22" t="s">
        <v>62</v>
      </c>
      <c r="J26" s="5" t="str">
        <f ca="1">IFERROR(__xludf.DUMMYFUNCTION("GOOGLETRANSLATE(G26,""ar"",""en"")"),"Al-Manar neighborhood")</f>
        <v>Al-Manar neighborhood</v>
      </c>
      <c r="K26" s="5">
        <v>555885926</v>
      </c>
      <c r="L26" s="5" t="s">
        <v>133</v>
      </c>
      <c r="M26" s="5" t="str">
        <f ca="1">IFERROR(__xludf.DUMMYFUNCTION("GOOGLETRANSLATE(J26,""ar"",""en"")"),"Ibrahim Abu Abdul Karim")</f>
        <v>Ibrahim Abu Abdul Karim</v>
      </c>
      <c r="N26" s="6" t="s">
        <v>134</v>
      </c>
      <c r="O26" s="8" t="s">
        <v>135</v>
      </c>
    </row>
    <row r="27" spans="1:15" ht="20.100000000000001" customHeight="1" thickTop="1" thickBot="1">
      <c r="A27" s="1"/>
      <c r="B27" s="22">
        <v>26</v>
      </c>
      <c r="C27" s="22" t="s">
        <v>136</v>
      </c>
      <c r="D27" s="22" t="s">
        <v>13</v>
      </c>
      <c r="E27" s="22" t="s">
        <v>137</v>
      </c>
      <c r="F27" s="22" t="str">
        <f ca="1">IFERROR(__xludf.DUMMYFUNCTION("GOOGLETRANSLATE(E27,""ar"",""en"")"),"Al Jazeera Fresh Supermarkets")</f>
        <v>Al Jazeera Fresh Supermarkets</v>
      </c>
      <c r="G27" s="22" t="s">
        <v>3581</v>
      </c>
      <c r="H27" s="24" t="s">
        <v>3587</v>
      </c>
      <c r="I27" s="22" t="s">
        <v>62</v>
      </c>
      <c r="J27" s="5" t="str">
        <f ca="1">IFERROR(__xludf.DUMMYFUNCTION("GOOGLETRANSLATE(G27,""ar"",""en"")"),"Al-Manar neighborhood")</f>
        <v>Al-Manar neighborhood</v>
      </c>
      <c r="K27" s="5">
        <v>570018557</v>
      </c>
      <c r="L27" s="5" t="s">
        <v>138</v>
      </c>
      <c r="M27" s="5" t="str">
        <f ca="1">IFERROR(__xludf.DUMMYFUNCTION("GOOGLETRANSLATE(J27,""ar"",""en"")"),"Danish")</f>
        <v>Danish</v>
      </c>
      <c r="N27" s="6" t="s">
        <v>139</v>
      </c>
      <c r="O27" s="8" t="s">
        <v>140</v>
      </c>
    </row>
    <row r="28" spans="1:15" ht="20.100000000000001" customHeight="1" thickTop="1" thickBot="1">
      <c r="A28" s="1"/>
      <c r="B28" s="22">
        <v>27</v>
      </c>
      <c r="C28" s="22" t="s">
        <v>141</v>
      </c>
      <c r="D28" s="22" t="s">
        <v>13</v>
      </c>
      <c r="E28" s="22" t="s">
        <v>142</v>
      </c>
      <c r="F28" s="22" t="str">
        <f ca="1">IFERROR(__xludf.DUMMYFUNCTION("GOOGLETRANSLATE(E28,""ar"",""en"")"),"World People Markets")</f>
        <v>World People Markets</v>
      </c>
      <c r="G28" s="22" t="s">
        <v>3581</v>
      </c>
      <c r="H28" s="24" t="s">
        <v>3587</v>
      </c>
      <c r="I28" s="22" t="s">
        <v>62</v>
      </c>
      <c r="J28" s="5" t="str">
        <f ca="1">IFERROR(__xludf.DUMMYFUNCTION("GOOGLETRANSLATE(G28,""ar"",""en"")"),"Al-Manar neighborhood")</f>
        <v>Al-Manar neighborhood</v>
      </c>
      <c r="K28" s="5">
        <v>536602583</v>
      </c>
      <c r="L28" s="5" t="s">
        <v>143</v>
      </c>
      <c r="M28" s="5" t="str">
        <f ca="1">IFERROR(__xludf.DUMMYFUNCTION("GOOGLETRANSLATE(J28,""ar"",""en"")"),"Mubarak Al-Juaidi")</f>
        <v>Mubarak Al-Juaidi</v>
      </c>
      <c r="N28" s="6" t="s">
        <v>144</v>
      </c>
      <c r="O28" s="8" t="s">
        <v>145</v>
      </c>
    </row>
    <row r="29" spans="1:15" ht="20.100000000000001" customHeight="1" thickTop="1" thickBot="1">
      <c r="A29" s="1"/>
      <c r="B29" s="22">
        <v>28</v>
      </c>
      <c r="C29" s="22" t="s">
        <v>146</v>
      </c>
      <c r="D29" s="22" t="s">
        <v>13</v>
      </c>
      <c r="E29" s="22" t="s">
        <v>147</v>
      </c>
      <c r="F29" s="22" t="str">
        <f ca="1">IFERROR(__xludf.DUMMYFUNCTION("GOOGLETRANSLATE(E29,""ar"",""en"")"),"Mohammed Hassan Al-Anbari Foundation")</f>
        <v>Mohammed Hassan Al-Anbari Foundation</v>
      </c>
      <c r="G29" s="22" t="s">
        <v>3581</v>
      </c>
      <c r="H29" s="24" t="s">
        <v>3587</v>
      </c>
      <c r="I29" s="22" t="s">
        <v>62</v>
      </c>
      <c r="J29" s="5" t="str">
        <f ca="1">IFERROR(__xludf.DUMMYFUNCTION("GOOGLETRANSLATE(G29,""ar"",""en"")"),"Al-Manar neighborhood")</f>
        <v>Al-Manar neighborhood</v>
      </c>
      <c r="K29" s="5">
        <v>538276752</v>
      </c>
      <c r="L29" s="5" t="s">
        <v>148</v>
      </c>
      <c r="M29" s="5" t="str">
        <f ca="1">IFERROR(__xludf.DUMMYFUNCTION("GOOGLETRANSLATE(J29,""ar"",""en"")"),"better")</f>
        <v>better</v>
      </c>
      <c r="N29" s="6" t="s">
        <v>149</v>
      </c>
      <c r="O29" s="8" t="s">
        <v>150</v>
      </c>
    </row>
    <row r="30" spans="1:15" ht="20.100000000000001" customHeight="1" thickTop="1" thickBot="1">
      <c r="A30" s="1"/>
      <c r="B30" s="22">
        <v>29</v>
      </c>
      <c r="C30" s="22" t="s">
        <v>151</v>
      </c>
      <c r="D30" s="22" t="s">
        <v>13</v>
      </c>
      <c r="E30" s="22" t="s">
        <v>152</v>
      </c>
      <c r="F30" s="22" t="str">
        <f ca="1">IFERROR(__xludf.DUMMYFUNCTION("GOOGLETRANSLATE(E30,""ar"",""en"")"),"Good Deeds Supplies")</f>
        <v>Good Deeds Supplies</v>
      </c>
      <c r="G30" s="22" t="s">
        <v>3581</v>
      </c>
      <c r="H30" s="24" t="s">
        <v>3587</v>
      </c>
      <c r="I30" s="22" t="s">
        <v>62</v>
      </c>
      <c r="J30" s="5" t="str">
        <f ca="1">IFERROR(__xludf.DUMMYFUNCTION("GOOGLETRANSLATE(G30,""ar"",""en"")"),"Al-Manar neighborhood")</f>
        <v>Al-Manar neighborhood</v>
      </c>
      <c r="K30" s="5">
        <v>545199331</v>
      </c>
      <c r="L30" s="5" t="s">
        <v>153</v>
      </c>
      <c r="M30" s="5" t="str">
        <f ca="1">IFERROR(__xludf.DUMMYFUNCTION("GOOGLETRANSLATE(J30,""ar"",""en"")"),"Abdulrahman")</f>
        <v>Abdulrahman</v>
      </c>
      <c r="N30" s="6" t="s">
        <v>154</v>
      </c>
      <c r="O30" s="8" t="s">
        <v>155</v>
      </c>
    </row>
    <row r="31" spans="1:15" ht="20.100000000000001" customHeight="1" thickTop="1" thickBot="1">
      <c r="A31" s="1"/>
      <c r="B31" s="22">
        <v>30</v>
      </c>
      <c r="C31" s="22" t="s">
        <v>156</v>
      </c>
      <c r="D31" s="22" t="s">
        <v>13</v>
      </c>
      <c r="E31" s="22" t="s">
        <v>157</v>
      </c>
      <c r="F31" s="22" t="str">
        <f ca="1">IFERROR(__xludf.DUMMYFUNCTION("GOOGLETRANSLATE(E31,""ar"",""en"")"),"Darb Al-Asima Markets")</f>
        <v>Darb Al-Asima Markets</v>
      </c>
      <c r="G31" s="22" t="s">
        <v>3581</v>
      </c>
      <c r="H31" s="24" t="s">
        <v>3587</v>
      </c>
      <c r="I31" s="22" t="s">
        <v>62</v>
      </c>
      <c r="J31" s="5" t="str">
        <f ca="1">IFERROR(__xludf.DUMMYFUNCTION("GOOGLETRANSLATE(G31,""ar"",""en"")"),"Al-Manar neighborhood")</f>
        <v>Al-Manar neighborhood</v>
      </c>
      <c r="K31" s="5">
        <v>534825755</v>
      </c>
      <c r="L31" s="5" t="s">
        <v>83</v>
      </c>
      <c r="M31" s="5" t="str">
        <f ca="1">IFERROR(__xludf.DUMMYFUNCTION("GOOGLETRANSLATE(J31,""ar"",""en"")"),"on")</f>
        <v>on</v>
      </c>
      <c r="N31" s="6" t="s">
        <v>158</v>
      </c>
      <c r="O31" s="8" t="s">
        <v>159</v>
      </c>
    </row>
    <row r="32" spans="1:15" ht="20.100000000000001" customHeight="1" thickTop="1" thickBot="1">
      <c r="A32" s="1"/>
      <c r="B32" s="22">
        <v>31</v>
      </c>
      <c r="C32" s="22" t="s">
        <v>160</v>
      </c>
      <c r="D32" s="22" t="s">
        <v>13</v>
      </c>
      <c r="E32" s="22" t="s">
        <v>117</v>
      </c>
      <c r="F32" s="22" t="str">
        <f ca="1">IFERROR(__xludf.DUMMYFUNCTION("GOOGLETRANSLATE(E32,""ar"",""en"")"),"Basket of Goodness Company")</f>
        <v>Basket of Goodness Company</v>
      </c>
      <c r="G32" s="22" t="s">
        <v>3581</v>
      </c>
      <c r="H32" s="24" t="s">
        <v>3587</v>
      </c>
      <c r="I32" s="22" t="s">
        <v>62</v>
      </c>
      <c r="J32" s="5" t="str">
        <f ca="1">IFERROR(__xludf.DUMMYFUNCTION("GOOGLETRANSLATE(G32,""ar"",""en"")"),"Al-Manar neighborhood")</f>
        <v>Al-Manar neighborhood</v>
      </c>
      <c r="K32" s="5">
        <v>551829866</v>
      </c>
      <c r="L32" s="5" t="s">
        <v>161</v>
      </c>
      <c r="M32" s="5" t="str">
        <f ca="1">IFERROR(__xludf.DUMMYFUNCTION("GOOGLETRANSLATE(J32,""ar"",""en"")"),"Abdul Hakim")</f>
        <v>Abdul Hakim</v>
      </c>
      <c r="N32" s="6" t="s">
        <v>162</v>
      </c>
      <c r="O32" s="8" t="s">
        <v>163</v>
      </c>
    </row>
    <row r="33" spans="1:15" ht="20.100000000000001" customHeight="1" thickTop="1" thickBot="1">
      <c r="A33" s="1"/>
      <c r="B33" s="22">
        <v>32</v>
      </c>
      <c r="C33" s="22" t="s">
        <v>164</v>
      </c>
      <c r="D33" s="22" t="s">
        <v>13</v>
      </c>
      <c r="E33" s="22" t="s">
        <v>165</v>
      </c>
      <c r="F33" s="22" t="str">
        <f ca="1">IFERROR(__xludf.DUMMYFUNCTION("GOOGLETRANSLATE(E33,""ar"",""en"")"),"Janan Al Baraka Markets")</f>
        <v>Janan Al Baraka Markets</v>
      </c>
      <c r="G33" s="22" t="s">
        <v>3581</v>
      </c>
      <c r="H33" s="24" t="s">
        <v>3587</v>
      </c>
      <c r="I33" s="22" t="s">
        <v>62</v>
      </c>
      <c r="J33" s="5" t="str">
        <f ca="1">IFERROR(__xludf.DUMMYFUNCTION("GOOGLETRANSLATE(G33,""ar"",""en"")"),"Al-Manar neighborhood")</f>
        <v>Al-Manar neighborhood</v>
      </c>
      <c r="K33" s="5">
        <v>559162554</v>
      </c>
      <c r="L33" s="5" t="s">
        <v>166</v>
      </c>
      <c r="M33" s="5" t="str">
        <f ca="1">IFERROR(__xludf.DUMMYFUNCTION("GOOGLETRANSLATE(J33,""ar"",""en"")"),"Abu Khalid Abdul Rahman")</f>
        <v>Abu Khalid Abdul Rahman</v>
      </c>
      <c r="N33" s="6" t="s">
        <v>167</v>
      </c>
      <c r="O33" s="8" t="s">
        <v>168</v>
      </c>
    </row>
    <row r="34" spans="1:15" ht="20.100000000000001" customHeight="1" thickTop="1" thickBot="1">
      <c r="A34" s="1"/>
      <c r="B34" s="22">
        <v>33</v>
      </c>
      <c r="C34" s="22" t="s">
        <v>169</v>
      </c>
      <c r="D34" s="22" t="s">
        <v>13</v>
      </c>
      <c r="E34" s="22" t="s">
        <v>170</v>
      </c>
      <c r="F34" s="22" t="str">
        <f ca="1">IFERROR(__xludf.DUMMYFUNCTION("GOOGLETRANSLATE(E34,""ar"",""en"")"),"First Warehouse Markets")</f>
        <v>First Warehouse Markets</v>
      </c>
      <c r="G34" s="22" t="s">
        <v>3581</v>
      </c>
      <c r="H34" s="24" t="s">
        <v>3587</v>
      </c>
      <c r="I34" s="22" t="s">
        <v>62</v>
      </c>
      <c r="J34" s="5" t="str">
        <f ca="1">IFERROR(__xludf.DUMMYFUNCTION("GOOGLETRANSLATE(G34,""ar"",""en"")"),"Al-Manar neighborhood")</f>
        <v>Al-Manar neighborhood</v>
      </c>
      <c r="K34" s="5">
        <v>595454512</v>
      </c>
      <c r="L34" s="5" t="s">
        <v>43</v>
      </c>
      <c r="M34" s="5" t="str">
        <f ca="1">IFERROR(__xludf.DUMMYFUNCTION("GOOGLETRANSLATE(J34,""ar"",""en"")"),"Abdulaziz")</f>
        <v>Abdulaziz</v>
      </c>
      <c r="N34" s="6" t="s">
        <v>171</v>
      </c>
      <c r="O34" s="7" t="s">
        <v>172</v>
      </c>
    </row>
    <row r="35" spans="1:15" ht="20.100000000000001" customHeight="1" thickTop="1" thickBot="1">
      <c r="A35" s="1"/>
      <c r="B35" s="22">
        <v>34</v>
      </c>
      <c r="C35" s="22" t="s">
        <v>173</v>
      </c>
      <c r="D35" s="22" t="s">
        <v>13</v>
      </c>
      <c r="E35" s="22" t="s">
        <v>174</v>
      </c>
      <c r="F35" s="22" t="str">
        <f ca="1">IFERROR(__xludf.DUMMYFUNCTION("GOOGLETRANSLATE(E35,""ar"",""en"")"),"Al-Nala Supplies")</f>
        <v>Al-Nala Supplies</v>
      </c>
      <c r="G35" s="22" t="s">
        <v>3581</v>
      </c>
      <c r="H35" s="24" t="s">
        <v>3587</v>
      </c>
      <c r="I35" s="22" t="s">
        <v>62</v>
      </c>
      <c r="J35" s="5" t="str">
        <f ca="1">IFERROR(__xludf.DUMMYFUNCTION("GOOGLETRANSLATE(G35,""ar"",""en"")"),"Al-Manar neighborhood")</f>
        <v>Al-Manar neighborhood</v>
      </c>
      <c r="K35" s="5">
        <v>597020518</v>
      </c>
      <c r="L35" s="5" t="s">
        <v>175</v>
      </c>
      <c r="M35" s="5" t="str">
        <f ca="1">IFERROR(__xludf.DUMMYFUNCTION("GOOGLETRANSLATE(J35,""ar"",""en"")"),"Abdullah")</f>
        <v>Abdullah</v>
      </c>
      <c r="N35" s="6" t="s">
        <v>176</v>
      </c>
      <c r="O35" s="8" t="s">
        <v>177</v>
      </c>
    </row>
    <row r="36" spans="1:15" ht="20.100000000000001" customHeight="1" thickTop="1" thickBot="1">
      <c r="A36" s="1"/>
      <c r="B36" s="22">
        <v>35</v>
      </c>
      <c r="C36" s="22" t="s">
        <v>178</v>
      </c>
      <c r="D36" s="22" t="s">
        <v>13</v>
      </c>
      <c r="E36" s="22" t="s">
        <v>179</v>
      </c>
      <c r="F36" s="22" t="str">
        <f ca="1">IFERROR(__xludf.DUMMYFUNCTION("GOOGLETRANSLATE(E36,""ar"",""en"")"),"Basket Nass Supplies")</f>
        <v>Basket Nass Supplies</v>
      </c>
      <c r="G36" s="22" t="s">
        <v>3581</v>
      </c>
      <c r="H36" s="24" t="s">
        <v>3587</v>
      </c>
      <c r="I36" s="22" t="s">
        <v>62</v>
      </c>
      <c r="J36" s="5" t="str">
        <f ca="1">IFERROR(__xludf.DUMMYFUNCTION("GOOGLETRANSLATE(G36,""ar"",""en"")"),"Al-Manar neighborhood")</f>
        <v>Al-Manar neighborhood</v>
      </c>
      <c r="K36" s="5">
        <v>535004258</v>
      </c>
      <c r="L36" s="5" t="s">
        <v>103</v>
      </c>
      <c r="M36" s="5" t="str">
        <f ca="1">IFERROR(__xludf.DUMMYFUNCTION("GOOGLETRANSLATE(J36,""ar"",""en"")"),"Salem")</f>
        <v>Salem</v>
      </c>
      <c r="N36" s="6" t="s">
        <v>180</v>
      </c>
      <c r="O36" s="8" t="s">
        <v>181</v>
      </c>
    </row>
    <row r="37" spans="1:15" ht="20.100000000000001" customHeight="1" thickTop="1" thickBot="1">
      <c r="A37" s="1"/>
      <c r="B37" s="22">
        <v>36</v>
      </c>
      <c r="C37" s="22" t="s">
        <v>182</v>
      </c>
      <c r="D37" s="22" t="s">
        <v>13</v>
      </c>
      <c r="E37" s="22" t="s">
        <v>183</v>
      </c>
      <c r="F37" s="22" t="str">
        <f ca="1">IFERROR(__xludf.DUMMYFUNCTION("GOOGLETRANSLATE(E37,""ar"",""en"")"),"First Day Supplies")</f>
        <v>First Day Supplies</v>
      </c>
      <c r="G37" s="22" t="s">
        <v>3581</v>
      </c>
      <c r="H37" s="24" t="s">
        <v>3587</v>
      </c>
      <c r="I37" s="22" t="s">
        <v>62</v>
      </c>
      <c r="J37" s="5" t="str">
        <f ca="1">IFERROR(__xludf.DUMMYFUNCTION("GOOGLETRANSLATE(G37,""ar"",""en"")"),"Al-Manar neighborhood")</f>
        <v>Al-Manar neighborhood</v>
      </c>
      <c r="K37" s="5">
        <v>554067620</v>
      </c>
      <c r="L37" s="5" t="s">
        <v>184</v>
      </c>
      <c r="M37" s="5" t="str">
        <f ca="1">IFERROR(__xludf.DUMMYFUNCTION("GOOGLETRANSLATE(J37,""ar"",""en"")"),"Abu Hamed")</f>
        <v>Abu Hamed</v>
      </c>
      <c r="N37" s="6" t="s">
        <v>185</v>
      </c>
      <c r="O37" s="8" t="s">
        <v>186</v>
      </c>
    </row>
    <row r="38" spans="1:15" ht="20.100000000000001" customHeight="1" thickTop="1" thickBot="1">
      <c r="A38" s="1"/>
      <c r="B38" s="22">
        <v>37</v>
      </c>
      <c r="C38" s="22" t="s">
        <v>187</v>
      </c>
      <c r="D38" s="22" t="s">
        <v>13</v>
      </c>
      <c r="E38" s="22" t="s">
        <v>188</v>
      </c>
      <c r="F38" s="22" t="str">
        <f ca="1">IFERROR(__xludf.DUMMYFUNCTION("GOOGLETRANSLATE(E38,""ar"",""en"")"),"Z Markets")</f>
        <v>Z Markets</v>
      </c>
      <c r="G38" s="22" t="s">
        <v>3581</v>
      </c>
      <c r="H38" s="24" t="s">
        <v>3587</v>
      </c>
      <c r="I38" s="22" t="s">
        <v>62</v>
      </c>
      <c r="J38" s="5" t="str">
        <f ca="1">IFERROR(__xludf.DUMMYFUNCTION("GOOGLETRANSLATE(G38,""ar"",""en"")"),"Al-Manar neighborhood")</f>
        <v>Al-Manar neighborhood</v>
      </c>
      <c r="K38" s="5"/>
      <c r="L38" s="5"/>
      <c r="M38" s="5" t="str">
        <f ca="1">IFERROR(__xludf.DUMMYFUNCTION("GOOGLETRANSLATE(J38,""ar"",""en"")"),"#VALUE!")</f>
        <v>#VALUE!</v>
      </c>
      <c r="N38" s="6" t="s">
        <v>189</v>
      </c>
      <c r="O38" s="8" t="s">
        <v>190</v>
      </c>
    </row>
    <row r="39" spans="1:15" ht="20.100000000000001" customHeight="1" thickTop="1" thickBot="1">
      <c r="A39" s="1"/>
      <c r="B39" s="22">
        <v>38</v>
      </c>
      <c r="C39" s="22" t="s">
        <v>191</v>
      </c>
      <c r="D39" s="22" t="s">
        <v>13</v>
      </c>
      <c r="E39" s="22" t="s">
        <v>192</v>
      </c>
      <c r="F39" s="22" t="str">
        <f ca="1">IFERROR(__xludf.DUMMYFUNCTION("GOOGLETRANSLATE(E39,""ar"",""en"")"),"supermarket")</f>
        <v>supermarket</v>
      </c>
      <c r="G39" s="22" t="s">
        <v>3581</v>
      </c>
      <c r="H39" s="24" t="s">
        <v>3587</v>
      </c>
      <c r="I39" s="22" t="s">
        <v>62</v>
      </c>
      <c r="J39" s="5" t="str">
        <f ca="1">IFERROR(__xludf.DUMMYFUNCTION("GOOGLETRANSLATE(G39,""ar"",""en"")"),"Al-Manar neighborhood")</f>
        <v>Al-Manar neighborhood</v>
      </c>
      <c r="K39" s="5">
        <v>537055821</v>
      </c>
      <c r="L39" s="5" t="s">
        <v>193</v>
      </c>
      <c r="M39" s="5" t="str">
        <f ca="1">IFERROR(__xludf.DUMMYFUNCTION("GOOGLETRANSLATE(J39,""ar"",""en"")"),"Abu Rajih")</f>
        <v>Abu Rajih</v>
      </c>
      <c r="N39" s="6" t="s">
        <v>194</v>
      </c>
      <c r="O39" s="8" t="s">
        <v>195</v>
      </c>
    </row>
    <row r="40" spans="1:15" ht="20.100000000000001" customHeight="1" thickTop="1" thickBot="1">
      <c r="A40" s="1"/>
      <c r="B40" s="22">
        <v>39</v>
      </c>
      <c r="C40" s="22" t="s">
        <v>196</v>
      </c>
      <c r="D40" s="22" t="s">
        <v>13</v>
      </c>
      <c r="E40" s="22" t="s">
        <v>197</v>
      </c>
      <c r="F40" s="22" t="str">
        <f ca="1">IFERROR(__xludf.DUMMYFUNCTION("GOOGLETRANSLATE(E40,""ar"",""en"")"),"Saba Supplies")</f>
        <v>Saba Supplies</v>
      </c>
      <c r="G40" s="22" t="s">
        <v>3581</v>
      </c>
      <c r="H40" s="24" t="s">
        <v>3587</v>
      </c>
      <c r="I40" s="22" t="s">
        <v>62</v>
      </c>
      <c r="J40" s="5" t="str">
        <f ca="1">IFERROR(__xludf.DUMMYFUNCTION("GOOGLETRANSLATE(G40,""ar"",""en"")"),"Al-Manar neighborhood")</f>
        <v>Al-Manar neighborhood</v>
      </c>
      <c r="K40" s="5">
        <v>558119960</v>
      </c>
      <c r="L40" s="5" t="s">
        <v>198</v>
      </c>
      <c r="M40" s="5" t="str">
        <f ca="1">IFERROR(__xludf.DUMMYFUNCTION("GOOGLETRANSLATE(J40,""ar"",""en"")"),"Abdo")</f>
        <v>Abdo</v>
      </c>
      <c r="N40" s="6" t="s">
        <v>199</v>
      </c>
      <c r="O40" s="8" t="s">
        <v>200</v>
      </c>
    </row>
    <row r="41" spans="1:15" ht="20.100000000000001" customHeight="1" thickTop="1" thickBot="1">
      <c r="A41" s="1"/>
      <c r="B41" s="22">
        <v>40</v>
      </c>
      <c r="C41" s="22" t="s">
        <v>201</v>
      </c>
      <c r="D41" s="22" t="s">
        <v>13</v>
      </c>
      <c r="E41" s="22" t="s">
        <v>202</v>
      </c>
      <c r="F41" s="22" t="str">
        <f ca="1">IFERROR(__xludf.DUMMYFUNCTION("GOOGLETRANSLATE(E41,""ar"",""en"")"),"Noor Al-Zad")</f>
        <v>Noor Al-Zad</v>
      </c>
      <c r="G41" s="22" t="s">
        <v>3581</v>
      </c>
      <c r="H41" s="24" t="s">
        <v>3587</v>
      </c>
      <c r="I41" s="22" t="s">
        <v>203</v>
      </c>
      <c r="J41" s="5" t="str">
        <f ca="1">IFERROR(__xludf.DUMMYFUNCTION("GOOGLETRANSLATE(G41,""ar"",""en"")"),"Al Noor neighborhood")</f>
        <v>Al Noor neighborhood</v>
      </c>
      <c r="K41" s="5">
        <v>531108344</v>
      </c>
      <c r="L41" s="5" t="s">
        <v>204</v>
      </c>
      <c r="M41" s="5" t="str">
        <f ca="1">IFERROR(__xludf.DUMMYFUNCTION("GOOGLETRANSLATE(J41,""ar"",""en"")"),"Abu Saleh")</f>
        <v>Abu Saleh</v>
      </c>
      <c r="N41" s="6" t="s">
        <v>205</v>
      </c>
      <c r="O41" s="8" t="s">
        <v>206</v>
      </c>
    </row>
    <row r="42" spans="1:15" ht="20.100000000000001" customHeight="1" thickTop="1" thickBot="1">
      <c r="A42" s="1"/>
      <c r="B42" s="22">
        <v>41</v>
      </c>
      <c r="C42" s="22" t="s">
        <v>207</v>
      </c>
      <c r="D42" s="22" t="s">
        <v>13</v>
      </c>
      <c r="E42" s="22" t="s">
        <v>208</v>
      </c>
      <c r="F42" s="22" t="str">
        <f ca="1">IFERROR(__xludf.DUMMYFUNCTION("GOOGLETRANSLATE(E42,""ar"",""en"")"),"Azara Gulf Company")</f>
        <v>Azara Gulf Company</v>
      </c>
      <c r="G42" s="22" t="s">
        <v>3581</v>
      </c>
      <c r="H42" s="24" t="s">
        <v>3587</v>
      </c>
      <c r="I42" s="22" t="s">
        <v>203</v>
      </c>
      <c r="J42" s="5" t="str">
        <f ca="1">IFERROR(__xludf.DUMMYFUNCTION("GOOGLETRANSLATE(G42,""ar"",""en"")"),"Al Noor neighborhood")</f>
        <v>Al Noor neighborhood</v>
      </c>
      <c r="K42" s="5">
        <v>539814870</v>
      </c>
      <c r="L42" s="5" t="s">
        <v>209</v>
      </c>
      <c r="M42" s="5" t="str">
        <f ca="1">IFERROR(__xludf.DUMMYFUNCTION("GOOGLETRANSLATE(J42,""ar"",""en"")"),"Mahmoud")</f>
        <v>Mahmoud</v>
      </c>
      <c r="N42" s="6" t="s">
        <v>210</v>
      </c>
      <c r="O42" s="8" t="s">
        <v>211</v>
      </c>
    </row>
    <row r="43" spans="1:15" ht="20.100000000000001" customHeight="1" thickTop="1" thickBot="1">
      <c r="A43" s="1"/>
      <c r="B43" s="22">
        <v>42</v>
      </c>
      <c r="C43" s="22" t="s">
        <v>212</v>
      </c>
      <c r="D43" s="22" t="s">
        <v>13</v>
      </c>
      <c r="E43" s="22" t="s">
        <v>213</v>
      </c>
      <c r="F43" s="22" t="str">
        <f ca="1">IFERROR(__xludf.DUMMYFUNCTION("GOOGLETRANSLATE(E43,""ar"",""en"")"),"Zara Gulf Supermarket")</f>
        <v>Zara Gulf Supermarket</v>
      </c>
      <c r="G43" s="22" t="s">
        <v>3581</v>
      </c>
      <c r="H43" s="24" t="s">
        <v>3587</v>
      </c>
      <c r="I43" s="22" t="s">
        <v>203</v>
      </c>
      <c r="J43" s="5" t="str">
        <f ca="1">IFERROR(__xludf.DUMMYFUNCTION("GOOGLETRANSLATE(G43,""ar"",""en"")"),"Al Noor neighborhood")</f>
        <v>Al Noor neighborhood</v>
      </c>
      <c r="K43" s="5">
        <v>536643621</v>
      </c>
      <c r="L43" s="5" t="s">
        <v>214</v>
      </c>
      <c r="M43" s="5" t="str">
        <f ca="1">IFERROR(__xludf.DUMMYFUNCTION("GOOGLETRANSLATE(J43,""ar"",""en"")"),"Saddam Hussein")</f>
        <v>Saddam Hussein</v>
      </c>
      <c r="N43" s="6" t="s">
        <v>215</v>
      </c>
      <c r="O43" s="8" t="s">
        <v>216</v>
      </c>
    </row>
    <row r="44" spans="1:15" ht="20.100000000000001" customHeight="1" thickTop="1" thickBot="1">
      <c r="A44" s="1"/>
      <c r="B44" s="22">
        <v>43</v>
      </c>
      <c r="C44" s="22" t="s">
        <v>217</v>
      </c>
      <c r="D44" s="22" t="s">
        <v>13</v>
      </c>
      <c r="E44" s="22" t="s">
        <v>218</v>
      </c>
      <c r="F44" s="22" t="str">
        <f ca="1">IFERROR(__xludf.DUMMYFUNCTION("GOOGLETRANSLATE(E44,""ar"",""en"")"),"Basmi Trading Company")</f>
        <v>Basmi Trading Company</v>
      </c>
      <c r="G44" s="22" t="s">
        <v>3581</v>
      </c>
      <c r="H44" s="24" t="s">
        <v>3587</v>
      </c>
      <c r="I44" s="22" t="s">
        <v>203</v>
      </c>
      <c r="J44" s="5" t="str">
        <f ca="1">IFERROR(__xludf.DUMMYFUNCTION("GOOGLETRANSLATE(G44,""ar"",""en"")"),"Al Noor neighborhood")</f>
        <v>Al Noor neighborhood</v>
      </c>
      <c r="K44" s="5">
        <v>505835676</v>
      </c>
      <c r="L44" s="5" t="s">
        <v>219</v>
      </c>
      <c r="M44" s="5" t="str">
        <f ca="1">IFERROR(__xludf.DUMMYFUNCTION("GOOGLETRANSLATE(J44,""ar"",""en"")"),"Siraj al-Din")</f>
        <v>Siraj al-Din</v>
      </c>
      <c r="N44" s="6" t="s">
        <v>220</v>
      </c>
      <c r="O44" s="8" t="s">
        <v>221</v>
      </c>
    </row>
    <row r="45" spans="1:15" ht="20.100000000000001" customHeight="1" thickTop="1" thickBot="1">
      <c r="A45" s="1"/>
      <c r="B45" s="22">
        <v>44</v>
      </c>
      <c r="C45" s="22" t="s">
        <v>222</v>
      </c>
      <c r="D45" s="22" t="s">
        <v>13</v>
      </c>
      <c r="E45" s="22" t="s">
        <v>223</v>
      </c>
      <c r="F45" s="22" t="str">
        <f ca="1">IFERROR(__xludf.DUMMYFUNCTION("GOOGLETRANSLATE(E45,""ar"",""en"")"),"Najmat Al-Ghadir Markets")</f>
        <v>Najmat Al-Ghadir Markets</v>
      </c>
      <c r="G45" s="22" t="s">
        <v>3581</v>
      </c>
      <c r="H45" s="24" t="s">
        <v>3587</v>
      </c>
      <c r="I45" s="22" t="s">
        <v>203</v>
      </c>
      <c r="J45" s="5" t="str">
        <f ca="1">IFERROR(__xludf.DUMMYFUNCTION("GOOGLETRANSLATE(G45,""ar"",""en"")"),"Al Noor neighborhood")</f>
        <v>Al Noor neighborhood</v>
      </c>
      <c r="K45" s="5">
        <v>556376920</v>
      </c>
      <c r="L45" s="5" t="s">
        <v>224</v>
      </c>
      <c r="M45" s="5" t="str">
        <f ca="1">IFERROR(__xludf.DUMMYFUNCTION("GOOGLETRANSLATE(J45,""ar"",""en"")"),"Radwan")</f>
        <v>Radwan</v>
      </c>
      <c r="N45" s="6" t="s">
        <v>225</v>
      </c>
      <c r="O45" s="8" t="s">
        <v>226</v>
      </c>
    </row>
    <row r="46" spans="1:15" ht="20.100000000000001" customHeight="1" thickTop="1" thickBot="1">
      <c r="A46" s="1"/>
      <c r="B46" s="22">
        <v>45</v>
      </c>
      <c r="C46" s="22" t="s">
        <v>227</v>
      </c>
      <c r="D46" s="22" t="s">
        <v>13</v>
      </c>
      <c r="E46" s="22" t="s">
        <v>228</v>
      </c>
      <c r="F46" s="22" t="str">
        <f ca="1">IFERROR(__xludf.DUMMYFUNCTION("GOOGLETRANSLATE(E46,""ar"",""en"")"),"Winter Cloud Supplies")</f>
        <v>Winter Cloud Supplies</v>
      </c>
      <c r="G46" s="22" t="s">
        <v>3581</v>
      </c>
      <c r="H46" s="24" t="s">
        <v>3587</v>
      </c>
      <c r="I46" s="22" t="s">
        <v>203</v>
      </c>
      <c r="J46" s="5" t="str">
        <f ca="1">IFERROR(__xludf.DUMMYFUNCTION("GOOGLETRANSLATE(G46,""ar"",""en"")"),"Al Noor neighborhood")</f>
        <v>Al Noor neighborhood</v>
      </c>
      <c r="K46" s="5">
        <v>548349264</v>
      </c>
      <c r="L46" s="5" t="s">
        <v>229</v>
      </c>
      <c r="M46" s="5" t="str">
        <f ca="1">IFERROR(__xludf.DUMMYFUNCTION("GOOGLETRANSLATE(J46,""ar"",""en"")"),"Abdul Qadir")</f>
        <v>Abdul Qadir</v>
      </c>
      <c r="N46" s="6" t="s">
        <v>230</v>
      </c>
      <c r="O46" s="8" t="s">
        <v>231</v>
      </c>
    </row>
    <row r="47" spans="1:15" ht="20.100000000000001" customHeight="1" thickTop="1" thickBot="1">
      <c r="A47" s="1"/>
      <c r="B47" s="22">
        <v>46</v>
      </c>
      <c r="C47" s="22" t="s">
        <v>232</v>
      </c>
      <c r="D47" s="22" t="s">
        <v>13</v>
      </c>
      <c r="E47" s="22" t="s">
        <v>233</v>
      </c>
      <c r="F47" s="22" t="str">
        <f ca="1">IFERROR(__xludf.DUMMYFUNCTION("GOOGLETRANSLATE(E47,""ar"",""en"")"),"Diyar Al-Ezz Provisions")</f>
        <v>Diyar Al-Ezz Provisions</v>
      </c>
      <c r="G47" s="22" t="s">
        <v>3581</v>
      </c>
      <c r="H47" s="24" t="s">
        <v>3587</v>
      </c>
      <c r="I47" s="22" t="s">
        <v>203</v>
      </c>
      <c r="J47" s="5" t="str">
        <f ca="1">IFERROR(__xludf.DUMMYFUNCTION("GOOGLETRANSLATE(G47,""ar"",""en"")"),"Al Noor neighborhood")</f>
        <v>Al Noor neighborhood</v>
      </c>
      <c r="K47" s="5">
        <v>558676843</v>
      </c>
      <c r="L47" s="5" t="s">
        <v>234</v>
      </c>
      <c r="M47" s="5" t="str">
        <f ca="1">IFERROR(__xludf.DUMMYFUNCTION("GOOGLETRANSLATE(J47,""ar"",""en"")"),"Osman")</f>
        <v>Osman</v>
      </c>
      <c r="N47" s="6" t="s">
        <v>235</v>
      </c>
      <c r="O47" s="8" t="s">
        <v>236</v>
      </c>
    </row>
    <row r="48" spans="1:15" ht="20.100000000000001" customHeight="1" thickTop="1" thickBot="1">
      <c r="A48" s="1"/>
      <c r="B48" s="22">
        <v>47</v>
      </c>
      <c r="C48" s="22" t="s">
        <v>237</v>
      </c>
      <c r="D48" s="22" t="s">
        <v>13</v>
      </c>
      <c r="E48" s="22" t="s">
        <v>238</v>
      </c>
      <c r="F48" s="22" t="str">
        <f ca="1">IFERROR(__xludf.DUMMYFUNCTION("GOOGLETRANSLATE(E48,""ar"",""en"")"),"Hayat Al-Afia Supplies")</f>
        <v>Hayat Al-Afia Supplies</v>
      </c>
      <c r="G48" s="22" t="s">
        <v>3581</v>
      </c>
      <c r="H48" s="24" t="s">
        <v>3587</v>
      </c>
      <c r="I48" s="22" t="s">
        <v>203</v>
      </c>
      <c r="J48" s="5" t="str">
        <f ca="1">IFERROR(__xludf.DUMMYFUNCTION("GOOGLETRANSLATE(G48,""ar"",""en"")"),"Al Noor neighborhood")</f>
        <v>Al Noor neighborhood</v>
      </c>
      <c r="K48" s="5">
        <v>578153828</v>
      </c>
      <c r="L48" s="5"/>
      <c r="M48" s="5" t="str">
        <f ca="1">IFERROR(__xludf.DUMMYFUNCTION("GOOGLETRANSLATE(J48,""ar"",""en"")"),"#VALUE!")</f>
        <v>#VALUE!</v>
      </c>
      <c r="N48" s="6" t="s">
        <v>239</v>
      </c>
      <c r="O48" s="8" t="s">
        <v>240</v>
      </c>
    </row>
    <row r="49" spans="1:15" ht="20.100000000000001" customHeight="1" thickTop="1" thickBot="1">
      <c r="A49" s="1"/>
      <c r="B49" s="22">
        <v>48</v>
      </c>
      <c r="C49" s="22" t="s">
        <v>241</v>
      </c>
      <c r="D49" s="22" t="s">
        <v>13</v>
      </c>
      <c r="E49" s="22" t="s">
        <v>242</v>
      </c>
      <c r="F49" s="22" t="str">
        <f ca="1">IFERROR(__xludf.DUMMYFUNCTION("GOOGLETRANSLATE(E49,""ar"",""en"")"),"Snow Waves Supplies")</f>
        <v>Snow Waves Supplies</v>
      </c>
      <c r="G49" s="22" t="s">
        <v>3581</v>
      </c>
      <c r="H49" s="24" t="s">
        <v>3587</v>
      </c>
      <c r="I49" s="22" t="s">
        <v>203</v>
      </c>
      <c r="J49" s="5" t="str">
        <f ca="1">IFERROR(__xludf.DUMMYFUNCTION("GOOGLETRANSLATE(G49,""ar"",""en"")"),"Al Noor neighborhood")</f>
        <v>Al Noor neighborhood</v>
      </c>
      <c r="K49" s="5">
        <v>553203186</v>
      </c>
      <c r="L49" s="5" t="s">
        <v>243</v>
      </c>
      <c r="M49" s="5" t="str">
        <f ca="1">IFERROR(__xludf.DUMMYFUNCTION("GOOGLETRANSLATE(J49,""ar"",""en"")"),"Ahmed Ali")</f>
        <v>Ahmed Ali</v>
      </c>
      <c r="N49" s="6" t="s">
        <v>244</v>
      </c>
      <c r="O49" s="8" t="s">
        <v>245</v>
      </c>
    </row>
    <row r="50" spans="1:15" ht="20.100000000000001" customHeight="1" thickTop="1" thickBot="1">
      <c r="A50" s="1"/>
      <c r="B50" s="22">
        <v>49</v>
      </c>
      <c r="C50" s="22" t="s">
        <v>246</v>
      </c>
      <c r="D50" s="22" t="s">
        <v>13</v>
      </c>
      <c r="E50" s="22" t="s">
        <v>247</v>
      </c>
      <c r="F50" s="22" t="str">
        <f ca="1">IFERROR(__xludf.DUMMYFUNCTION("GOOGLETRANSLATE(E50,""ar"",""en"")"),"Diyar Al-Ezz Grocery")</f>
        <v>Diyar Al-Ezz Grocery</v>
      </c>
      <c r="G50" s="22" t="s">
        <v>3581</v>
      </c>
      <c r="H50" s="24" t="s">
        <v>3587</v>
      </c>
      <c r="I50" s="22" t="s">
        <v>203</v>
      </c>
      <c r="J50" s="5" t="str">
        <f ca="1">IFERROR(__xludf.DUMMYFUNCTION("GOOGLETRANSLATE(G50,""ar"",""en"")"),"Al Noor neighborhood")</f>
        <v>Al Noor neighborhood</v>
      </c>
      <c r="K50" s="5">
        <v>572687760</v>
      </c>
      <c r="L50" s="5" t="s">
        <v>248</v>
      </c>
      <c r="M50" s="5" t="str">
        <f ca="1">IFERROR(__xludf.DUMMYFUNCTION("GOOGLETRANSLATE(J50,""ar"",""en"")"),"martyr")</f>
        <v>martyr</v>
      </c>
      <c r="N50" s="6" t="s">
        <v>249</v>
      </c>
      <c r="O50" s="8" t="s">
        <v>250</v>
      </c>
    </row>
    <row r="51" spans="1:15" ht="20.100000000000001" customHeight="1" thickTop="1" thickBot="1">
      <c r="A51" s="1"/>
      <c r="B51" s="22">
        <v>50</v>
      </c>
      <c r="C51" s="22" t="s">
        <v>251</v>
      </c>
      <c r="D51" s="22" t="s">
        <v>13</v>
      </c>
      <c r="E51" s="22" t="s">
        <v>252</v>
      </c>
      <c r="F51" s="22" t="str">
        <f ca="1">IFERROR(__xludf.DUMMYFUNCTION("GOOGLETRANSLATE(E51,""ar"",""en"")"),"Cherry of Arabia Company")</f>
        <v>Cherry of Arabia Company</v>
      </c>
      <c r="G51" s="22" t="s">
        <v>3581</v>
      </c>
      <c r="H51" s="24" t="s">
        <v>3587</v>
      </c>
      <c r="I51" s="22" t="s">
        <v>203</v>
      </c>
      <c r="J51" s="5" t="str">
        <f ca="1">IFERROR(__xludf.DUMMYFUNCTION("GOOGLETRANSLATE(G51,""ar"",""en"")"),"Al Noor neighborhood")</f>
        <v>Al Noor neighborhood</v>
      </c>
      <c r="K51" s="5">
        <v>542402357</v>
      </c>
      <c r="L51" s="5"/>
      <c r="M51" s="5" t="str">
        <f ca="1">IFERROR(__xludf.DUMMYFUNCTION("GOOGLETRANSLATE(J51,""ar"",""en"")"),"#VALUE!")</f>
        <v>#VALUE!</v>
      </c>
      <c r="N51" s="6" t="s">
        <v>253</v>
      </c>
      <c r="O51" s="8" t="s">
        <v>254</v>
      </c>
    </row>
    <row r="52" spans="1:15" ht="20.100000000000001" customHeight="1" thickTop="1" thickBot="1">
      <c r="A52" s="1"/>
      <c r="B52" s="22">
        <v>51</v>
      </c>
      <c r="C52" s="22" t="s">
        <v>255</v>
      </c>
      <c r="D52" s="22" t="s">
        <v>13</v>
      </c>
      <c r="E52" s="22" t="s">
        <v>256</v>
      </c>
      <c r="F52" s="22" t="str">
        <f ca="1">IFERROR(__xludf.DUMMYFUNCTION("GOOGLETRANSLATE(E52,""ar"",""en"")"),"The Golden Corner")</f>
        <v>The Golden Corner</v>
      </c>
      <c r="G52" s="22" t="s">
        <v>3581</v>
      </c>
      <c r="H52" s="24" t="s">
        <v>3587</v>
      </c>
      <c r="I52" s="22" t="s">
        <v>203</v>
      </c>
      <c r="J52" s="5" t="str">
        <f ca="1">IFERROR(__xludf.DUMMYFUNCTION("GOOGLETRANSLATE(G52,""ar"",""en"")"),"Al Noor neighborhood")</f>
        <v>Al Noor neighborhood</v>
      </c>
      <c r="K52" s="5">
        <v>556661570</v>
      </c>
      <c r="L52" s="5" t="s">
        <v>257</v>
      </c>
      <c r="M52" s="5" t="str">
        <f ca="1">IFERROR(__xludf.DUMMYFUNCTION("GOOGLETRANSLATE(J52,""ar"",""en"")"),"Yasser")</f>
        <v>Yasser</v>
      </c>
      <c r="N52" s="6" t="s">
        <v>258</v>
      </c>
      <c r="O52" s="8" t="s">
        <v>259</v>
      </c>
    </row>
    <row r="53" spans="1:15" ht="20.100000000000001" customHeight="1" thickTop="1" thickBot="1">
      <c r="A53" s="1"/>
      <c r="B53" s="22">
        <v>52</v>
      </c>
      <c r="C53" s="22" t="s">
        <v>260</v>
      </c>
      <c r="D53" s="22" t="s">
        <v>13</v>
      </c>
      <c r="E53" s="22" t="s">
        <v>261</v>
      </c>
      <c r="F53" s="22" t="str">
        <f ca="1">IFERROR(__xludf.DUMMYFUNCTION("GOOGLETRANSLATE(E53,""ar"",""en"")"),"Luxury grocery store in Tuwaiq")</f>
        <v>Luxury grocery store in Tuwaiq</v>
      </c>
      <c r="G53" s="22" t="s">
        <v>3581</v>
      </c>
      <c r="H53" s="24" t="s">
        <v>3587</v>
      </c>
      <c r="I53" s="22" t="s">
        <v>203</v>
      </c>
      <c r="J53" s="5" t="str">
        <f ca="1">IFERROR(__xludf.DUMMYFUNCTION("GOOGLETRANSLATE(G53,""ar"",""en"")"),"Al Noor neighborhood")</f>
        <v>Al Noor neighborhood</v>
      </c>
      <c r="K53" s="5">
        <v>570585188</v>
      </c>
      <c r="L53" s="5" t="s">
        <v>262</v>
      </c>
      <c r="M53" s="5" t="str">
        <f ca="1">IFERROR(__xludf.DUMMYFUNCTION("GOOGLETRANSLATE(J53,""ar"",""en"")"),"Mamoun")</f>
        <v>Mamoun</v>
      </c>
      <c r="N53" s="6" t="s">
        <v>263</v>
      </c>
      <c r="O53" s="8" t="s">
        <v>264</v>
      </c>
    </row>
    <row r="54" spans="1:15" ht="20.100000000000001" customHeight="1" thickTop="1" thickBot="1">
      <c r="A54" s="1"/>
      <c r="B54" s="22">
        <v>53</v>
      </c>
      <c r="C54" s="22" t="s">
        <v>265</v>
      </c>
      <c r="D54" s="22" t="s">
        <v>13</v>
      </c>
      <c r="E54" s="22" t="s">
        <v>266</v>
      </c>
      <c r="F54" s="22" t="str">
        <f ca="1">IFERROR(__xludf.DUMMYFUNCTION("GOOGLETRANSLATE(E54,""ar"",""en"")"),"Original Raj Company")</f>
        <v>Original Raj Company</v>
      </c>
      <c r="G54" s="22" t="s">
        <v>3581</v>
      </c>
      <c r="H54" s="24" t="s">
        <v>3587</v>
      </c>
      <c r="I54" s="22" t="s">
        <v>203</v>
      </c>
      <c r="J54" s="5" t="str">
        <f ca="1">IFERROR(__xludf.DUMMYFUNCTION("GOOGLETRANSLATE(G54,""ar"",""en"")"),"Al Noor neighborhood")</f>
        <v>Al Noor neighborhood</v>
      </c>
      <c r="K54" s="5"/>
      <c r="L54" s="5"/>
      <c r="M54" s="5" t="str">
        <f ca="1">IFERROR(__xludf.DUMMYFUNCTION("GOOGLETRANSLATE(J54,""ar"",""en"")"),"#VALUE!")</f>
        <v>#VALUE!</v>
      </c>
      <c r="N54" s="6" t="s">
        <v>267</v>
      </c>
      <c r="O54" s="8" t="s">
        <v>268</v>
      </c>
    </row>
    <row r="55" spans="1:15" ht="20.100000000000001" customHeight="1" thickTop="1" thickBot="1">
      <c r="A55" s="1"/>
      <c r="B55" s="22">
        <v>54</v>
      </c>
      <c r="C55" s="22" t="s">
        <v>269</v>
      </c>
      <c r="D55" s="22" t="s">
        <v>13</v>
      </c>
      <c r="E55" s="22" t="s">
        <v>270</v>
      </c>
      <c r="F55" s="22" t="str">
        <f ca="1">IFERROR(__xludf.DUMMYFUNCTION("GOOGLETRANSLATE(E55,""ar"",""en"")"),"Thunder of the South Supplies")</f>
        <v>Thunder of the South Supplies</v>
      </c>
      <c r="G55" s="22" t="s">
        <v>3581</v>
      </c>
      <c r="H55" s="24" t="s">
        <v>3587</v>
      </c>
      <c r="I55" s="22" t="s">
        <v>203</v>
      </c>
      <c r="J55" s="5" t="str">
        <f ca="1">IFERROR(__xludf.DUMMYFUNCTION("GOOGLETRANSLATE(G55,""ar"",""en"")"),"Al Noor neighborhood")</f>
        <v>Al Noor neighborhood</v>
      </c>
      <c r="K55" s="5">
        <v>558890415</v>
      </c>
      <c r="L55" s="5"/>
      <c r="M55" s="5" t="str">
        <f ca="1">IFERROR(__xludf.DUMMYFUNCTION("GOOGLETRANSLATE(J55,""ar"",""en"")"),"#VALUE!")</f>
        <v>#VALUE!</v>
      </c>
      <c r="N55" s="6" t="s">
        <v>271</v>
      </c>
      <c r="O55" s="8" t="s">
        <v>272</v>
      </c>
    </row>
    <row r="56" spans="1:15" ht="20.100000000000001" customHeight="1" thickTop="1" thickBot="1">
      <c r="A56" s="1"/>
      <c r="B56" s="22">
        <v>55</v>
      </c>
      <c r="C56" s="22" t="s">
        <v>273</v>
      </c>
      <c r="D56" s="22" t="s">
        <v>13</v>
      </c>
      <c r="E56" s="22" t="s">
        <v>247</v>
      </c>
      <c r="F56" s="22" t="str">
        <f ca="1">IFERROR(__xludf.DUMMYFUNCTION("GOOGLETRANSLATE(E56,""ar"",""en"")"),"Diyar Al-Ezz Grocery")</f>
        <v>Diyar Al-Ezz Grocery</v>
      </c>
      <c r="G56" s="22" t="s">
        <v>3581</v>
      </c>
      <c r="H56" s="24" t="s">
        <v>3587</v>
      </c>
      <c r="I56" s="22" t="s">
        <v>203</v>
      </c>
      <c r="J56" s="5" t="str">
        <f ca="1">IFERROR(__xludf.DUMMYFUNCTION("GOOGLETRANSLATE(G56,""ar"",""en"")"),"Al Noor neighborhood")</f>
        <v>Al Noor neighborhood</v>
      </c>
      <c r="K56" s="5">
        <v>500185322</v>
      </c>
      <c r="L56" s="5"/>
      <c r="M56" s="5" t="str">
        <f ca="1">IFERROR(__xludf.DUMMYFUNCTION("GOOGLETRANSLATE(J56,""ar"",""en"")"),"#VALUE!")</f>
        <v>#VALUE!</v>
      </c>
      <c r="N56" s="6" t="s">
        <v>274</v>
      </c>
      <c r="O56" s="8" t="s">
        <v>275</v>
      </c>
    </row>
    <row r="57" spans="1:15" ht="20.100000000000001" customHeight="1" thickTop="1" thickBot="1">
      <c r="A57" s="1"/>
      <c r="B57" s="22">
        <v>56</v>
      </c>
      <c r="C57" s="22" t="s">
        <v>276</v>
      </c>
      <c r="D57" s="22" t="s">
        <v>13</v>
      </c>
      <c r="E57" s="22" t="s">
        <v>277</v>
      </c>
      <c r="F57" s="22" t="str">
        <f ca="1">IFERROR(__xludf.DUMMYFUNCTION("GOOGLETRANSLATE(E57,""ar"",""en"")"),"Mutlaq Supplies")</f>
        <v>Mutlaq Supplies</v>
      </c>
      <c r="G57" s="22" t="s">
        <v>3581</v>
      </c>
      <c r="H57" s="24" t="s">
        <v>3587</v>
      </c>
      <c r="I57" s="22" t="s">
        <v>203</v>
      </c>
      <c r="J57" s="5" t="str">
        <f ca="1">IFERROR(__xludf.DUMMYFUNCTION("GOOGLETRANSLATE(G57,""ar"",""en"")"),"Al Noor neighborhood")</f>
        <v>Al Noor neighborhood</v>
      </c>
      <c r="K57" s="5">
        <v>573420400</v>
      </c>
      <c r="L57" s="5" t="s">
        <v>278</v>
      </c>
      <c r="M57" s="5" t="str">
        <f ca="1">IFERROR(__xludf.DUMMYFUNCTION("GOOGLETRANSLATE(J57,""ar"",""en"")"),"Kawthar")</f>
        <v>Kawthar</v>
      </c>
      <c r="N57" s="6" t="s">
        <v>279</v>
      </c>
      <c r="O57" s="8" t="s">
        <v>280</v>
      </c>
    </row>
    <row r="58" spans="1:15" ht="20.100000000000001" customHeight="1" thickTop="1" thickBot="1">
      <c r="A58" s="1"/>
      <c r="B58" s="22">
        <v>57</v>
      </c>
      <c r="C58" s="22" t="s">
        <v>281</v>
      </c>
      <c r="D58" s="22" t="s">
        <v>13</v>
      </c>
      <c r="E58" s="22" t="s">
        <v>282</v>
      </c>
      <c r="F58" s="22" t="str">
        <f ca="1">IFERROR(__xludf.DUMMYFUNCTION("GOOGLETRANSLATE(E58,""ar"",""en"")"),"Family Supplies")</f>
        <v>Family Supplies</v>
      </c>
      <c r="G58" s="22" t="s">
        <v>3581</v>
      </c>
      <c r="H58" s="24" t="s">
        <v>3587</v>
      </c>
      <c r="I58" s="22" t="s">
        <v>203</v>
      </c>
      <c r="J58" s="5" t="str">
        <f ca="1">IFERROR(__xludf.DUMMYFUNCTION("GOOGLETRANSLATE(G58,""ar"",""en"")"),"Al Noor neighborhood")</f>
        <v>Al Noor neighborhood</v>
      </c>
      <c r="K58" s="5">
        <v>537164189</v>
      </c>
      <c r="L58" s="5" t="s">
        <v>283</v>
      </c>
      <c r="M58" s="5" t="str">
        <f ca="1">IFERROR(__xludf.DUMMYFUNCTION("GOOGLETRANSLATE(J58,""ar"",""en"")"),"world")</f>
        <v>world</v>
      </c>
      <c r="N58" s="6" t="s">
        <v>284</v>
      </c>
      <c r="O58" s="8" t="s">
        <v>285</v>
      </c>
    </row>
    <row r="59" spans="1:15" ht="20.100000000000001" customHeight="1" thickTop="1" thickBot="1">
      <c r="A59" s="1"/>
      <c r="B59" s="22">
        <v>58</v>
      </c>
      <c r="C59" s="22" t="s">
        <v>286</v>
      </c>
      <c r="D59" s="22" t="s">
        <v>13</v>
      </c>
      <c r="E59" s="22" t="s">
        <v>282</v>
      </c>
      <c r="F59" s="22" t="str">
        <f ca="1">IFERROR(__xludf.DUMMYFUNCTION("GOOGLETRANSLATE(E59,""ar"",""en"")"),"Family Supplies")</f>
        <v>Family Supplies</v>
      </c>
      <c r="G59" s="22" t="s">
        <v>3581</v>
      </c>
      <c r="H59" s="24" t="s">
        <v>3587</v>
      </c>
      <c r="I59" s="22" t="s">
        <v>203</v>
      </c>
      <c r="J59" s="5" t="str">
        <f ca="1">IFERROR(__xludf.DUMMYFUNCTION("GOOGLETRANSLATE(G59,""ar"",""en"")"),"Al Noor neighborhood")</f>
        <v>Al Noor neighborhood</v>
      </c>
      <c r="K59" s="5">
        <v>537164189</v>
      </c>
      <c r="L59" s="5" t="s">
        <v>283</v>
      </c>
      <c r="M59" s="5" t="str">
        <f ca="1">IFERROR(__xludf.DUMMYFUNCTION("GOOGLETRANSLATE(J59,""ar"",""en"")"),"world")</f>
        <v>world</v>
      </c>
      <c r="N59" s="6"/>
      <c r="O59" s="9"/>
    </row>
    <row r="60" spans="1:15" ht="20.100000000000001" customHeight="1" thickTop="1" thickBot="1">
      <c r="A60" s="1"/>
      <c r="B60" s="22">
        <v>59</v>
      </c>
      <c r="C60" s="22" t="s">
        <v>287</v>
      </c>
      <c r="D60" s="22" t="s">
        <v>13</v>
      </c>
      <c r="E60" s="22" t="s">
        <v>288</v>
      </c>
      <c r="F60" s="22" t="str">
        <f ca="1">IFERROR(__xludf.DUMMYFUNCTION("GOOGLETRANSLATE(E60,""ar"",""en"")"),"Doha Palm Company")</f>
        <v>Doha Palm Company</v>
      </c>
      <c r="G60" s="22" t="s">
        <v>3581</v>
      </c>
      <c r="H60" s="24" t="s">
        <v>3587</v>
      </c>
      <c r="I60" s="22" t="s">
        <v>203</v>
      </c>
      <c r="J60" s="5" t="str">
        <f ca="1">IFERROR(__xludf.DUMMYFUNCTION("GOOGLETRANSLATE(G60,""ar"",""en"")"),"Al Noor neighborhood")</f>
        <v>Al Noor neighborhood</v>
      </c>
      <c r="K60" s="5">
        <v>556949297</v>
      </c>
      <c r="L60" s="5" t="s">
        <v>289</v>
      </c>
      <c r="M60" s="5" t="str">
        <f ca="1">IFERROR(__xludf.DUMMYFUNCTION("GOOGLETRANSLATE(J60,""ar"",""en"")"),"Najid Al Habtoor")</f>
        <v>Najid Al Habtoor</v>
      </c>
      <c r="N60" s="6" t="s">
        <v>290</v>
      </c>
      <c r="O60" s="8" t="s">
        <v>291</v>
      </c>
    </row>
    <row r="61" spans="1:15" ht="20.100000000000001" customHeight="1" thickTop="1" thickBot="1">
      <c r="A61" s="1"/>
      <c r="B61" s="22">
        <v>60</v>
      </c>
      <c r="C61" s="22" t="s">
        <v>292</v>
      </c>
      <c r="D61" s="22" t="s">
        <v>13</v>
      </c>
      <c r="E61" s="22" t="s">
        <v>293</v>
      </c>
      <c r="F61" s="22" t="str">
        <f ca="1">IFERROR(__xludf.DUMMYFUNCTION("GOOGLETRANSLATE(E61,""ar"",""en"")"),"Corner and Light Grocery")</f>
        <v>Corner and Light Grocery</v>
      </c>
      <c r="G61" s="22" t="s">
        <v>3581</v>
      </c>
      <c r="H61" s="24" t="s">
        <v>3587</v>
      </c>
      <c r="I61" s="22" t="s">
        <v>203</v>
      </c>
      <c r="J61" s="5" t="str">
        <f ca="1">IFERROR(__xludf.DUMMYFUNCTION("GOOGLETRANSLATE(G61,""ar"",""en"")"),"Al Noor neighborhood")</f>
        <v>Al Noor neighborhood</v>
      </c>
      <c r="K61" s="5">
        <v>501376412</v>
      </c>
      <c r="L61" s="5" t="s">
        <v>294</v>
      </c>
      <c r="M61" s="5" t="str">
        <f ca="1">IFERROR(__xludf.DUMMYFUNCTION("GOOGLETRANSLATE(J61,""ar"",""en"")"),"Mohammed")</f>
        <v>Mohammed</v>
      </c>
      <c r="N61" s="6" t="s">
        <v>295</v>
      </c>
      <c r="O61" s="8" t="s">
        <v>296</v>
      </c>
    </row>
    <row r="62" spans="1:15" ht="20.100000000000001" customHeight="1" thickTop="1" thickBot="1">
      <c r="A62" s="1"/>
      <c r="B62" s="22">
        <v>61</v>
      </c>
      <c r="C62" s="22" t="s">
        <v>297</v>
      </c>
      <c r="D62" s="22" t="s">
        <v>13</v>
      </c>
      <c r="E62" s="22" t="s">
        <v>3696</v>
      </c>
      <c r="F62" s="22" t="str">
        <f ca="1">IFERROR(__xludf.DUMMYFUNCTION("GOOGLETRANSLATE(E62,""ar"",""en"")"),"Grocery store - Al Noor neighborhood")</f>
        <v>Grocery store - Al Noor neighborhood</v>
      </c>
      <c r="G62" s="22" t="s">
        <v>3581</v>
      </c>
      <c r="H62" s="24" t="s">
        <v>3587</v>
      </c>
      <c r="I62" s="22" t="s">
        <v>203</v>
      </c>
      <c r="J62" s="5" t="str">
        <f ca="1">IFERROR(__xludf.DUMMYFUNCTION("GOOGLETRANSLATE(G62,""ar"",""en"")"),"Al Noor neighborhood")</f>
        <v>Al Noor neighborhood</v>
      </c>
      <c r="K62" s="5">
        <v>506060292</v>
      </c>
      <c r="L62" s="5" t="s">
        <v>294</v>
      </c>
      <c r="M62" s="5" t="str">
        <f ca="1">IFERROR(__xludf.DUMMYFUNCTION("GOOGLETRANSLATE(J62,""ar"",""en"")"),"Mohammed")</f>
        <v>Mohammed</v>
      </c>
      <c r="N62" s="6" t="s">
        <v>298</v>
      </c>
      <c r="O62" s="8" t="s">
        <v>299</v>
      </c>
    </row>
    <row r="63" spans="1:15" ht="20.100000000000001" customHeight="1" thickTop="1" thickBot="1">
      <c r="A63" s="1"/>
      <c r="B63" s="22">
        <v>62</v>
      </c>
      <c r="C63" s="22" t="s">
        <v>300</v>
      </c>
      <c r="D63" s="22" t="s">
        <v>13</v>
      </c>
      <c r="E63" s="22" t="s">
        <v>301</v>
      </c>
      <c r="F63" s="22" t="str">
        <f ca="1">IFERROR(__xludf.DUMMYFUNCTION("GOOGLETRANSLATE(E63,""ar"",""en"")"),"Diamond Future Supplies")</f>
        <v>Diamond Future Supplies</v>
      </c>
      <c r="G63" s="22" t="s">
        <v>3581</v>
      </c>
      <c r="H63" s="24" t="s">
        <v>3587</v>
      </c>
      <c r="I63" s="22" t="s">
        <v>203</v>
      </c>
      <c r="J63" s="5" t="str">
        <f ca="1">IFERROR(__xludf.DUMMYFUNCTION("GOOGLETRANSLATE(G63,""ar"",""en"")"),"Al Noor neighborhood")</f>
        <v>Al Noor neighborhood</v>
      </c>
      <c r="K63" s="5">
        <v>538173992</v>
      </c>
      <c r="L63" s="5" t="s">
        <v>302</v>
      </c>
      <c r="M63" s="5" t="str">
        <f ca="1">IFERROR(__xludf.DUMMYFUNCTION("GOOGLETRANSLATE(J63,""ar"",""en"")"),"Mohammed Ahmed")</f>
        <v>Mohammed Ahmed</v>
      </c>
      <c r="N63" s="6" t="s">
        <v>303</v>
      </c>
      <c r="O63" s="8" t="s">
        <v>304</v>
      </c>
    </row>
    <row r="64" spans="1:15" ht="20.100000000000001" customHeight="1" thickTop="1" thickBot="1">
      <c r="A64" s="1"/>
      <c r="B64" s="22">
        <v>63</v>
      </c>
      <c r="C64" s="22" t="s">
        <v>305</v>
      </c>
      <c r="D64" s="22" t="s">
        <v>13</v>
      </c>
      <c r="E64" s="22" t="s">
        <v>306</v>
      </c>
      <c r="F64" s="22" t="str">
        <f ca="1">IFERROR(__xludf.DUMMYFUNCTION("GOOGLETRANSLATE(E64,""ar"",""en"")"),"Customer service markets")</f>
        <v>Customer service markets</v>
      </c>
      <c r="G64" s="22" t="s">
        <v>3581</v>
      </c>
      <c r="H64" s="24" t="s">
        <v>3587</v>
      </c>
      <c r="I64" s="22" t="s">
        <v>307</v>
      </c>
      <c r="J64" s="5" t="str">
        <f ca="1">IFERROR(__xludf.DUMMYFUNCTION("GOOGLETRANSLATE(G64,""ar"",""en"")"),"Al-Fayha neighborhood")</f>
        <v>Al-Fayha neighborhood</v>
      </c>
      <c r="K64" s="5">
        <v>534890692</v>
      </c>
      <c r="L64" s="5" t="s">
        <v>175</v>
      </c>
      <c r="M64" s="5" t="str">
        <f ca="1">IFERROR(__xludf.DUMMYFUNCTION("GOOGLETRANSLATE(J64,""ar"",""en"")"),"Abdullah")</f>
        <v>Abdullah</v>
      </c>
      <c r="N64" s="6" t="s">
        <v>308</v>
      </c>
      <c r="O64" s="8" t="s">
        <v>309</v>
      </c>
    </row>
    <row r="65" spans="1:15" ht="20.100000000000001" customHeight="1" thickTop="1" thickBot="1">
      <c r="A65" s="1"/>
      <c r="B65" s="22">
        <v>64</v>
      </c>
      <c r="C65" s="22" t="s">
        <v>310</v>
      </c>
      <c r="D65" s="22" t="s">
        <v>13</v>
      </c>
      <c r="E65" s="22" t="s">
        <v>311</v>
      </c>
      <c r="F65" s="22" t="str">
        <f ca="1">IFERROR(__xludf.DUMMYFUNCTION("GOOGLETRANSLATE(E65,""ar"",""en"")"),"Fayhaa Damascus Supplies")</f>
        <v>Fayhaa Damascus Supplies</v>
      </c>
      <c r="G65" s="22" t="s">
        <v>3581</v>
      </c>
      <c r="H65" s="24" t="s">
        <v>3587</v>
      </c>
      <c r="I65" s="22" t="s">
        <v>307</v>
      </c>
      <c r="J65" s="5" t="str">
        <f ca="1">IFERROR(__xludf.DUMMYFUNCTION("GOOGLETRANSLATE(G65,""ar"",""en"")"),"Al-Fayha neighborhood")</f>
        <v>Al-Fayha neighborhood</v>
      </c>
      <c r="K65" s="5">
        <v>556662336</v>
      </c>
      <c r="L65" s="5"/>
      <c r="M65" s="5" t="str">
        <f ca="1">IFERROR(__xludf.DUMMYFUNCTION("GOOGLETRANSLATE(J65,""ar"",""en"")"),"#VALUE!")</f>
        <v>#VALUE!</v>
      </c>
      <c r="N65" s="6" t="s">
        <v>312</v>
      </c>
      <c r="O65" s="8" t="s">
        <v>313</v>
      </c>
    </row>
    <row r="66" spans="1:15" ht="20.100000000000001" customHeight="1" thickTop="1" thickBot="1">
      <c r="A66" s="1"/>
      <c r="B66" s="22">
        <v>65</v>
      </c>
      <c r="C66" s="22" t="s">
        <v>314</v>
      </c>
      <c r="D66" s="22" t="s">
        <v>13</v>
      </c>
      <c r="E66" s="22" t="s">
        <v>315</v>
      </c>
      <c r="F66" s="22" t="str">
        <f ca="1">IFERROR(__xludf.DUMMYFUNCTION("GOOGLETRANSLATE(E66,""ar"",""en"")"),"Atana Sweets Supplies")</f>
        <v>Atana Sweets Supplies</v>
      </c>
      <c r="G66" s="22" t="s">
        <v>3581</v>
      </c>
      <c r="H66" s="24" t="s">
        <v>3587</v>
      </c>
      <c r="I66" s="22" t="s">
        <v>307</v>
      </c>
      <c r="J66" s="5" t="str">
        <f ca="1">IFERROR(__xludf.DUMMYFUNCTION("GOOGLETRANSLATE(G66,""ar"",""en"")"),"Al-Fayha neighborhood")</f>
        <v>Al-Fayha neighborhood</v>
      </c>
      <c r="K66" s="5">
        <v>530272753</v>
      </c>
      <c r="L66" s="5" t="s">
        <v>294</v>
      </c>
      <c r="M66" s="5" t="str">
        <f ca="1">IFERROR(__xludf.DUMMYFUNCTION("GOOGLETRANSLATE(J66,""ar"",""en"")"),"Mohammed")</f>
        <v>Mohammed</v>
      </c>
      <c r="N66" s="6" t="s">
        <v>316</v>
      </c>
      <c r="O66" s="8" t="s">
        <v>317</v>
      </c>
    </row>
    <row r="67" spans="1:15" ht="20.100000000000001" customHeight="1" thickTop="1" thickBot="1">
      <c r="A67" s="1"/>
      <c r="B67" s="22">
        <v>66</v>
      </c>
      <c r="C67" s="22" t="s">
        <v>318</v>
      </c>
      <c r="D67" s="22" t="s">
        <v>13</v>
      </c>
      <c r="E67" s="22" t="s">
        <v>319</v>
      </c>
      <c r="F67" s="22" t="str">
        <f ca="1">IFERROR(__xludf.DUMMYFUNCTION("GOOGLETRANSLATE(E67,""ar"",""en"")"),"Al-Fayha Corner Supplies")</f>
        <v>Al-Fayha Corner Supplies</v>
      </c>
      <c r="G67" s="22" t="s">
        <v>3581</v>
      </c>
      <c r="H67" s="24" t="s">
        <v>3587</v>
      </c>
      <c r="I67" s="22" t="s">
        <v>307</v>
      </c>
      <c r="J67" s="5" t="str">
        <f ca="1">IFERROR(__xludf.DUMMYFUNCTION("GOOGLETRANSLATE(G67,""ar"",""en"")"),"Al-Fayha neighborhood")</f>
        <v>Al-Fayha neighborhood</v>
      </c>
      <c r="K67" s="5">
        <v>576826069</v>
      </c>
      <c r="L67" s="5" t="s">
        <v>320</v>
      </c>
      <c r="M67" s="5" t="str">
        <f ca="1">IFERROR(__xludf.DUMMYFUNCTION("GOOGLETRANSLATE(J67,""ar"",""en"")"),"break")</f>
        <v>break</v>
      </c>
      <c r="N67" s="6" t="s">
        <v>321</v>
      </c>
      <c r="O67" s="8" t="s">
        <v>322</v>
      </c>
    </row>
    <row r="68" spans="1:15" ht="20.100000000000001" customHeight="1" thickTop="1" thickBot="1">
      <c r="A68" s="1"/>
      <c r="B68" s="22">
        <v>67</v>
      </c>
      <c r="C68" s="22" t="s">
        <v>323</v>
      </c>
      <c r="D68" s="22" t="s">
        <v>13</v>
      </c>
      <c r="E68" s="22" t="s">
        <v>324</v>
      </c>
      <c r="F68" s="22" t="str">
        <f ca="1">IFERROR(__xludf.DUMMYFUNCTION("GOOGLETRANSLATE(E68,""ar"",""en"")"),"Buruj Al Maida Catering")</f>
        <v>Buruj Al Maida Catering</v>
      </c>
      <c r="G68" s="22" t="s">
        <v>3581</v>
      </c>
      <c r="H68" s="24" t="s">
        <v>3587</v>
      </c>
      <c r="I68" s="22" t="s">
        <v>307</v>
      </c>
      <c r="J68" s="5" t="str">
        <f ca="1">IFERROR(__xludf.DUMMYFUNCTION("GOOGLETRANSLATE(G68,""ar"",""en"")"),"Al-Fayha neighborhood")</f>
        <v>Al-Fayha neighborhood</v>
      </c>
      <c r="K68" s="5"/>
      <c r="L68" s="5"/>
      <c r="M68" s="5" t="str">
        <f ca="1">IFERROR(__xludf.DUMMYFUNCTION("GOOGLETRANSLATE(J68,""ar"",""en"")"),"#VALUE!")</f>
        <v>#VALUE!</v>
      </c>
      <c r="N68" s="6" t="s">
        <v>325</v>
      </c>
      <c r="O68" s="8" t="s">
        <v>326</v>
      </c>
    </row>
    <row r="69" spans="1:15" ht="20.100000000000001" customHeight="1" thickTop="1" thickBot="1">
      <c r="A69" s="1"/>
      <c r="B69" s="22">
        <v>68</v>
      </c>
      <c r="C69" s="22" t="s">
        <v>327</v>
      </c>
      <c r="D69" s="22" t="s">
        <v>13</v>
      </c>
      <c r="E69" s="22" t="s">
        <v>328</v>
      </c>
      <c r="F69" s="22" t="str">
        <f ca="1">IFERROR(__xludf.DUMMYFUNCTION("GOOGLETRANSLATE(E69,""ar"",""en"")"),"Sea Nights Catering")</f>
        <v>Sea Nights Catering</v>
      </c>
      <c r="G69" s="22" t="s">
        <v>3581</v>
      </c>
      <c r="H69" s="24" t="s">
        <v>3587</v>
      </c>
      <c r="I69" s="22" t="s">
        <v>307</v>
      </c>
      <c r="J69" s="5" t="str">
        <f ca="1">IFERROR(__xludf.DUMMYFUNCTION("GOOGLETRANSLATE(G69,""ar"",""en"")"),"Al-Fayha neighborhood")</f>
        <v>Al-Fayha neighborhood</v>
      </c>
      <c r="K69" s="5">
        <v>567584318</v>
      </c>
      <c r="L69" s="5" t="s">
        <v>83</v>
      </c>
      <c r="M69" s="5" t="str">
        <f ca="1">IFERROR(__xludf.DUMMYFUNCTION("GOOGLETRANSLATE(J69,""ar"",""en"")"),"on")</f>
        <v>on</v>
      </c>
      <c r="N69" s="6" t="s">
        <v>329</v>
      </c>
      <c r="O69" s="8" t="s">
        <v>330</v>
      </c>
    </row>
    <row r="70" spans="1:15" ht="20.100000000000001" customHeight="1" thickTop="1" thickBot="1">
      <c r="A70" s="1"/>
      <c r="B70" s="22">
        <v>69</v>
      </c>
      <c r="C70" s="22" t="s">
        <v>331</v>
      </c>
      <c r="D70" s="22" t="s">
        <v>13</v>
      </c>
      <c r="E70" s="22" t="s">
        <v>332</v>
      </c>
      <c r="F70" s="22" t="str">
        <f ca="1">IFERROR(__xludf.DUMMYFUNCTION("GOOGLETRANSLATE(E70,""ar"",""en"")"),"Shams Al Maha Company")</f>
        <v>Shams Al Maha Company</v>
      </c>
      <c r="G70" s="22" t="s">
        <v>3581</v>
      </c>
      <c r="H70" s="24" t="s">
        <v>3587</v>
      </c>
      <c r="I70" s="22" t="s">
        <v>307</v>
      </c>
      <c r="J70" s="5" t="str">
        <f ca="1">IFERROR(__xludf.DUMMYFUNCTION("GOOGLETRANSLATE(G70,""ar"",""en"")"),"Al-Fayha neighborhood")</f>
        <v>Al-Fayha neighborhood</v>
      </c>
      <c r="K70" s="5">
        <v>551945309</v>
      </c>
      <c r="L70" s="5" t="s">
        <v>333</v>
      </c>
      <c r="M70" s="5" t="str">
        <f ca="1">IFERROR(__xludf.DUMMYFUNCTION("GOOGLETRANSLATE(J70,""ar"",""en"")"),"Shawkat")</f>
        <v>Shawkat</v>
      </c>
      <c r="N70" s="6" t="s">
        <v>334</v>
      </c>
      <c r="O70" s="8" t="s">
        <v>335</v>
      </c>
    </row>
    <row r="71" spans="1:15" ht="20.100000000000001" customHeight="1" thickTop="1" thickBot="1">
      <c r="A71" s="1"/>
      <c r="B71" s="22">
        <v>70</v>
      </c>
      <c r="C71" s="22" t="s">
        <v>336</v>
      </c>
      <c r="D71" s="22" t="s">
        <v>13</v>
      </c>
      <c r="E71" s="22" t="s">
        <v>337</v>
      </c>
      <c r="F71" s="22" t="str">
        <f ca="1">IFERROR(__xludf.DUMMYFUNCTION("GOOGLETRANSLATE(E71,""ar"",""en"")"),"Jewel of Your Day Supplies")</f>
        <v>Jewel of Your Day Supplies</v>
      </c>
      <c r="G71" s="22" t="s">
        <v>3581</v>
      </c>
      <c r="H71" s="24" t="s">
        <v>3587</v>
      </c>
      <c r="I71" s="22" t="s">
        <v>338</v>
      </c>
      <c r="J71" s="5" t="str">
        <f ca="1">IFERROR(__xludf.DUMMYFUNCTION("GOOGLETRANSLATE(G71,""ar"",""en"")"),"Fog neighborhood")</f>
        <v>Fog neighborhood</v>
      </c>
      <c r="K71" s="5">
        <v>533110258</v>
      </c>
      <c r="L71" s="5" t="s">
        <v>339</v>
      </c>
      <c r="M71" s="5" t="str">
        <f ca="1">IFERROR(__xludf.DUMMYFUNCTION("GOOGLETRANSLATE(J71,""ar"",""en"")"),"Abdul-Mu'izz")</f>
        <v>Abdul-Mu'izz</v>
      </c>
      <c r="N71" s="6" t="s">
        <v>340</v>
      </c>
      <c r="O71" s="8" t="s">
        <v>341</v>
      </c>
    </row>
    <row r="72" spans="1:15" ht="20.100000000000001" customHeight="1" thickTop="1" thickBot="1">
      <c r="A72" s="1"/>
      <c r="B72" s="22">
        <v>71</v>
      </c>
      <c r="C72" s="22" t="s">
        <v>342</v>
      </c>
      <c r="D72" s="22" t="s">
        <v>13</v>
      </c>
      <c r="E72" s="22" t="s">
        <v>343</v>
      </c>
      <c r="F72" s="22" t="str">
        <f ca="1">IFERROR(__xludf.DUMMYFUNCTION("GOOGLETRANSLATE(E72,""ar"",""en"")"),"Mazaya Supplies")</f>
        <v>Mazaya Supplies</v>
      </c>
      <c r="G72" s="22" t="s">
        <v>3581</v>
      </c>
      <c r="H72" s="24" t="s">
        <v>3587</v>
      </c>
      <c r="I72" s="22" t="s">
        <v>338</v>
      </c>
      <c r="J72" s="5" t="str">
        <f ca="1">IFERROR(__xludf.DUMMYFUNCTION("GOOGLETRANSLATE(G72,""ar"",""en"")"),"Fog neighborhood")</f>
        <v>Fog neighborhood</v>
      </c>
      <c r="K72" s="5"/>
      <c r="L72" s="5"/>
      <c r="M72" s="5" t="str">
        <f ca="1">IFERROR(__xludf.DUMMYFUNCTION("GOOGLETRANSLATE(J72,""ar"",""en"")"),"#VALUE!")</f>
        <v>#VALUE!</v>
      </c>
      <c r="N72" s="6" t="s">
        <v>344</v>
      </c>
      <c r="O72" s="8" t="s">
        <v>345</v>
      </c>
    </row>
    <row r="73" spans="1:15" ht="20.100000000000001" customHeight="1" thickTop="1" thickBot="1">
      <c r="A73" s="1"/>
      <c r="B73" s="22">
        <v>72</v>
      </c>
      <c r="C73" s="22" t="s">
        <v>346</v>
      </c>
      <c r="D73" s="22" t="s">
        <v>13</v>
      </c>
      <c r="E73" s="22" t="s">
        <v>347</v>
      </c>
      <c r="F73" s="22" t="str">
        <f ca="1">IFERROR(__xludf.DUMMYFUNCTION("GOOGLETRANSLATE(E73,""ar"",""en"")"),"Rakan Al Saeed Supermarkets")</f>
        <v>Rakan Al Saeed Supermarkets</v>
      </c>
      <c r="G73" s="22" t="s">
        <v>3581</v>
      </c>
      <c r="H73" s="24" t="s">
        <v>3587</v>
      </c>
      <c r="I73" s="22" t="s">
        <v>338</v>
      </c>
      <c r="J73" s="5" t="str">
        <f ca="1">IFERROR(__xludf.DUMMYFUNCTION("GOOGLETRANSLATE(G73,""ar"",""en"")"),"Fog neighborhood")</f>
        <v>Fog neighborhood</v>
      </c>
      <c r="K73" s="5">
        <v>557517654</v>
      </c>
      <c r="L73" s="5" t="s">
        <v>348</v>
      </c>
      <c r="M73" s="5" t="str">
        <f ca="1">IFERROR(__xludf.DUMMYFUNCTION("GOOGLETRANSLATE(J73,""ar"",""en"")"),"Mo'men Ismail")</f>
        <v>Mo'men Ismail</v>
      </c>
      <c r="N73" s="6" t="s">
        <v>349</v>
      </c>
      <c r="O73" s="8" t="s">
        <v>350</v>
      </c>
    </row>
    <row r="74" spans="1:15" ht="20.100000000000001" customHeight="1" thickTop="1" thickBot="1">
      <c r="A74" s="1"/>
      <c r="B74" s="22">
        <v>73</v>
      </c>
      <c r="C74" s="22" t="s">
        <v>351</v>
      </c>
      <c r="D74" s="22" t="s">
        <v>13</v>
      </c>
      <c r="E74" s="22" t="s">
        <v>343</v>
      </c>
      <c r="F74" s="22" t="str">
        <f ca="1">IFERROR(__xludf.DUMMYFUNCTION("GOOGLETRANSLATE(E74,""ar"",""en"")"),"Mazaya Supplies")</f>
        <v>Mazaya Supplies</v>
      </c>
      <c r="G74" s="22" t="s">
        <v>3581</v>
      </c>
      <c r="H74" s="24" t="s">
        <v>3587</v>
      </c>
      <c r="I74" s="22" t="s">
        <v>338</v>
      </c>
      <c r="J74" s="5" t="str">
        <f ca="1">IFERROR(__xludf.DUMMYFUNCTION("GOOGLETRANSLATE(G74,""ar"",""en"")"),"Fog neighborhood")</f>
        <v>Fog neighborhood</v>
      </c>
      <c r="K74" s="5"/>
      <c r="L74" s="5"/>
      <c r="M74" s="5" t="str">
        <f ca="1">IFERROR(__xludf.DUMMYFUNCTION("GOOGLETRANSLATE(J74,""ar"",""en"")"),"#VALUE!")</f>
        <v>#VALUE!</v>
      </c>
      <c r="N74" s="6" t="s">
        <v>352</v>
      </c>
      <c r="O74" s="8" t="s">
        <v>353</v>
      </c>
    </row>
    <row r="75" spans="1:15" ht="20.100000000000001" customHeight="1" thickTop="1" thickBot="1">
      <c r="A75" s="1"/>
      <c r="B75" s="22">
        <v>74</v>
      </c>
      <c r="C75" s="22" t="s">
        <v>354</v>
      </c>
      <c r="D75" s="22" t="s">
        <v>13</v>
      </c>
      <c r="E75" s="22" t="s">
        <v>355</v>
      </c>
      <c r="F75" s="22" t="str">
        <f ca="1">IFERROR(__xludf.DUMMYFUNCTION("GOOGLETRANSLATE(E75,""ar"",""en"")"),"Yemen Stars Supplies")</f>
        <v>Yemen Stars Supplies</v>
      </c>
      <c r="G75" s="22" t="s">
        <v>3581</v>
      </c>
      <c r="H75" s="24" t="s">
        <v>3587</v>
      </c>
      <c r="I75" s="22" t="s">
        <v>338</v>
      </c>
      <c r="J75" s="5" t="str">
        <f ca="1">IFERROR(__xludf.DUMMYFUNCTION("GOOGLETRANSLATE(G75,""ar"",""en"")"),"Fog neighborhood")</f>
        <v>Fog neighborhood</v>
      </c>
      <c r="K75" s="5">
        <v>535891730</v>
      </c>
      <c r="L75" s="5" t="s">
        <v>356</v>
      </c>
      <c r="M75" s="5" t="str">
        <f ca="1">IFERROR(__xludf.DUMMYFUNCTION("GOOGLETRANSLATE(J75,""ar"",""en"")"),"Abdul Raouf")</f>
        <v>Abdul Raouf</v>
      </c>
      <c r="N75" s="6" t="s">
        <v>357</v>
      </c>
      <c r="O75" s="8" t="s">
        <v>358</v>
      </c>
    </row>
    <row r="76" spans="1:15" ht="20.100000000000001" customHeight="1" thickTop="1" thickBot="1">
      <c r="A76" s="1"/>
      <c r="B76" s="22">
        <v>75</v>
      </c>
      <c r="C76" s="22" t="s">
        <v>359</v>
      </c>
      <c r="D76" s="22" t="s">
        <v>13</v>
      </c>
      <c r="E76" s="22" t="s">
        <v>360</v>
      </c>
      <c r="F76" s="22" t="str">
        <f ca="1">IFERROR(__xludf.DUMMYFUNCTION("GOOGLETRANSLATE(E76,""ar"",""en"")"),"Markets and bakeries customer service")</f>
        <v>Markets and bakeries customer service</v>
      </c>
      <c r="G76" s="22" t="s">
        <v>3581</v>
      </c>
      <c r="H76" s="24" t="s">
        <v>3587</v>
      </c>
      <c r="I76" s="22" t="s">
        <v>338</v>
      </c>
      <c r="J76" s="5" t="str">
        <f ca="1">IFERROR(__xludf.DUMMYFUNCTION("GOOGLETRANSLATE(G76,""ar"",""en"")"),"Fog neighborhood")</f>
        <v>Fog neighborhood</v>
      </c>
      <c r="K76" s="5">
        <v>500320986</v>
      </c>
      <c r="L76" s="5" t="s">
        <v>361</v>
      </c>
      <c r="M76" s="5" t="str">
        <f ca="1">IFERROR(__xludf.DUMMYFUNCTION("GOOGLETRANSLATE(J76,""ar"",""en"")"),"Ahmed")</f>
        <v>Ahmed</v>
      </c>
      <c r="N76" s="6" t="s">
        <v>362</v>
      </c>
      <c r="O76" s="8" t="s">
        <v>363</v>
      </c>
    </row>
    <row r="77" spans="1:15" ht="20.100000000000001" customHeight="1" thickTop="1" thickBot="1">
      <c r="A77" s="1"/>
      <c r="B77" s="22">
        <v>76</v>
      </c>
      <c r="C77" s="22" t="s">
        <v>364</v>
      </c>
      <c r="D77" s="22" t="s">
        <v>13</v>
      </c>
      <c r="E77" s="22" t="s">
        <v>365</v>
      </c>
      <c r="F77" s="22" t="str">
        <f ca="1">IFERROR(__xludf.DUMMYFUNCTION("GOOGLETRANSLATE(E77,""ar"",""en"")"),"Butter savings markets")</f>
        <v>Butter savings markets</v>
      </c>
      <c r="G77" s="22" t="s">
        <v>3581</v>
      </c>
      <c r="H77" s="24" t="s">
        <v>3587</v>
      </c>
      <c r="I77" s="22" t="s">
        <v>366</v>
      </c>
      <c r="J77" s="5" t="str">
        <f ca="1">IFERROR(__xludf.DUMMYFUNCTION("GOOGLETRANSLATE(G77,""ar"",""en"")"),"One neighborhood")</f>
        <v>One neighborhood</v>
      </c>
      <c r="K77" s="5">
        <v>543811188</v>
      </c>
      <c r="L77" s="5" t="s">
        <v>367</v>
      </c>
      <c r="M77" s="5" t="str">
        <f ca="1">IFERROR(__xludf.DUMMYFUNCTION("GOOGLETRANSLATE(J77,""ar"",""en"")"),"Abu Omar")</f>
        <v>Abu Omar</v>
      </c>
      <c r="N77" s="6" t="s">
        <v>368</v>
      </c>
      <c r="O77" s="8" t="s">
        <v>369</v>
      </c>
    </row>
    <row r="78" spans="1:15" ht="20.100000000000001" customHeight="1" thickTop="1" thickBot="1">
      <c r="A78" s="1"/>
      <c r="B78" s="22">
        <v>77</v>
      </c>
      <c r="C78" s="22" t="s">
        <v>370</v>
      </c>
      <c r="D78" s="22" t="s">
        <v>13</v>
      </c>
      <c r="E78" s="22" t="s">
        <v>371</v>
      </c>
      <c r="F78" s="22" t="str">
        <f ca="1">IFERROR(__xludf.DUMMYFUNCTION("GOOGLETRANSLATE(E78,""ar"",""en"")"),"Salla Madain Uhud Supplies")</f>
        <v>Salla Madain Uhud Supplies</v>
      </c>
      <c r="G78" s="22" t="s">
        <v>3581</v>
      </c>
      <c r="H78" s="24" t="s">
        <v>3587</v>
      </c>
      <c r="I78" s="22" t="s">
        <v>366</v>
      </c>
      <c r="J78" s="5" t="str">
        <f ca="1">IFERROR(__xludf.DUMMYFUNCTION("GOOGLETRANSLATE(G78,""ar"",""en"")"),"One neighborhood")</f>
        <v>One neighborhood</v>
      </c>
      <c r="K78" s="5">
        <v>530453262</v>
      </c>
      <c r="L78" s="5" t="s">
        <v>372</v>
      </c>
      <c r="M78" s="5" t="str">
        <f ca="1">IFERROR(__xludf.DUMMYFUNCTION("GOOGLETRANSLATE(J78,""ar"",""en"")"),"Abu Ali")</f>
        <v>Abu Ali</v>
      </c>
      <c r="N78" s="6" t="s">
        <v>373</v>
      </c>
      <c r="O78" s="8" t="s">
        <v>374</v>
      </c>
    </row>
    <row r="79" spans="1:15" ht="20.100000000000001" customHeight="1" thickTop="1" thickBot="1">
      <c r="A79" s="1"/>
      <c r="B79" s="22">
        <v>78</v>
      </c>
      <c r="C79" s="22" t="s">
        <v>375</v>
      </c>
      <c r="D79" s="22" t="s">
        <v>13</v>
      </c>
      <c r="E79" s="22" t="s">
        <v>376</v>
      </c>
      <c r="F79" s="22" t="str">
        <f ca="1">IFERROR(__xludf.DUMMYFUNCTION("GOOGLETRANSLATE(E79,""ar"",""en"")"),"Wadi Al-Khair Grocery")</f>
        <v>Wadi Al-Khair Grocery</v>
      </c>
      <c r="G79" s="22" t="s">
        <v>3581</v>
      </c>
      <c r="H79" s="24" t="s">
        <v>3587</v>
      </c>
      <c r="I79" s="22" t="s">
        <v>366</v>
      </c>
      <c r="J79" s="5" t="str">
        <f ca="1">IFERROR(__xludf.DUMMYFUNCTION("GOOGLETRANSLATE(G79,""ar"",""en"")"),"One neighborhood")</f>
        <v>One neighborhood</v>
      </c>
      <c r="K79" s="5">
        <v>597590478</v>
      </c>
      <c r="L79" s="5" t="s">
        <v>294</v>
      </c>
      <c r="M79" s="5" t="str">
        <f ca="1">IFERROR(__xludf.DUMMYFUNCTION("GOOGLETRANSLATE(J79,""ar"",""en"")"),"Mohammed")</f>
        <v>Mohammed</v>
      </c>
      <c r="N79" s="6" t="s">
        <v>377</v>
      </c>
      <c r="O79" s="8" t="s">
        <v>378</v>
      </c>
    </row>
    <row r="80" spans="1:15" ht="20.100000000000001" customHeight="1" thickTop="1" thickBot="1">
      <c r="A80" s="1"/>
      <c r="B80" s="22">
        <v>79</v>
      </c>
      <c r="C80" s="22" t="s">
        <v>379</v>
      </c>
      <c r="D80" s="22" t="s">
        <v>13</v>
      </c>
      <c r="E80" s="22" t="s">
        <v>380</v>
      </c>
      <c r="F80" s="22" t="str">
        <f ca="1">IFERROR(__xludf.DUMMYFUNCTION("GOOGLETRANSLATE(E80,""ar"",""en"")"),"Sanabel Al Sharq Company")</f>
        <v>Sanabel Al Sharq Company</v>
      </c>
      <c r="G80" s="22" t="s">
        <v>3581</v>
      </c>
      <c r="H80" s="24" t="s">
        <v>3587</v>
      </c>
      <c r="I80" s="22" t="s">
        <v>366</v>
      </c>
      <c r="J80" s="5" t="str">
        <f ca="1">IFERROR(__xludf.DUMMYFUNCTION("GOOGLETRANSLATE(G80,""ar"",""en"")"),"One neighborhood")</f>
        <v>One neighborhood</v>
      </c>
      <c r="K80" s="5">
        <v>502088492</v>
      </c>
      <c r="L80" s="5" t="s">
        <v>381</v>
      </c>
      <c r="M80" s="5" t="str">
        <f ca="1">IFERROR(__xludf.DUMMYFUNCTION("GOOGLETRANSLATE(J80,""ar"",""en"")"),"Fairouz")</f>
        <v>Fairouz</v>
      </c>
      <c r="N80" s="6" t="s">
        <v>382</v>
      </c>
      <c r="O80" s="8" t="s">
        <v>383</v>
      </c>
    </row>
    <row r="81" spans="1:15" ht="20.100000000000001" customHeight="1" thickTop="1" thickBot="1">
      <c r="A81" s="1"/>
      <c r="B81" s="22">
        <v>80</v>
      </c>
      <c r="C81" s="22" t="s">
        <v>384</v>
      </c>
      <c r="D81" s="22" t="s">
        <v>13</v>
      </c>
      <c r="E81" s="22" t="s">
        <v>385</v>
      </c>
      <c r="F81" s="22" t="str">
        <f ca="1">IFERROR(__xludf.DUMMYFUNCTION("GOOGLETRANSLATE(E81,""ar"",""en"")"),"Comfort Stars Shopping")</f>
        <v>Comfort Stars Shopping</v>
      </c>
      <c r="G81" s="22" t="s">
        <v>3581</v>
      </c>
      <c r="H81" s="24" t="s">
        <v>3587</v>
      </c>
      <c r="I81" s="22" t="s">
        <v>366</v>
      </c>
      <c r="J81" s="5" t="str">
        <f ca="1">IFERROR(__xludf.DUMMYFUNCTION("GOOGLETRANSLATE(G81,""ar"",""en"")"),"One neighborhood")</f>
        <v>One neighborhood</v>
      </c>
      <c r="K81" s="5">
        <v>561716882</v>
      </c>
      <c r="L81" s="5" t="s">
        <v>386</v>
      </c>
      <c r="M81" s="5" t="str">
        <f ca="1">IFERROR(__xludf.DUMMYFUNCTION("GOOGLETRANSLATE(J81,""ar"",""en"")"),"Ahmed Abu Khaled")</f>
        <v>Ahmed Abu Khaled</v>
      </c>
      <c r="N81" s="6" t="s">
        <v>387</v>
      </c>
      <c r="O81" s="8" t="s">
        <v>388</v>
      </c>
    </row>
    <row r="82" spans="1:15" ht="20.100000000000001" customHeight="1" thickTop="1" thickBot="1">
      <c r="A82" s="1"/>
      <c r="B82" s="22">
        <v>81</v>
      </c>
      <c r="C82" s="22" t="s">
        <v>389</v>
      </c>
      <c r="D82" s="22" t="s">
        <v>13</v>
      </c>
      <c r="E82" s="22" t="s">
        <v>390</v>
      </c>
      <c r="F82" s="22" t="str">
        <f ca="1">IFERROR(__xludf.DUMMYFUNCTION("GOOGLETRANSLATE(E82,""ar"",""en"")"),"Oasis of Loyalty")</f>
        <v>Oasis of Loyalty</v>
      </c>
      <c r="G82" s="22" t="s">
        <v>3581</v>
      </c>
      <c r="H82" s="24" t="s">
        <v>3587</v>
      </c>
      <c r="I82" s="22" t="s">
        <v>366</v>
      </c>
      <c r="J82" s="5" t="str">
        <f ca="1">IFERROR(__xludf.DUMMYFUNCTION("GOOGLETRANSLATE(G82,""ar"",""en"")"),"One neighborhood")</f>
        <v>One neighborhood</v>
      </c>
      <c r="K82" s="5">
        <v>570184050</v>
      </c>
      <c r="L82" s="5"/>
      <c r="M82" s="5" t="str">
        <f ca="1">IFERROR(__xludf.DUMMYFUNCTION("GOOGLETRANSLATE(J82,""ar"",""en"")"),"#VALUE!")</f>
        <v>#VALUE!</v>
      </c>
      <c r="N82" s="6" t="s">
        <v>391</v>
      </c>
      <c r="O82" s="8" t="s">
        <v>392</v>
      </c>
    </row>
    <row r="83" spans="1:15" ht="20.100000000000001" customHeight="1" thickTop="1" thickBot="1">
      <c r="A83" s="1"/>
      <c r="B83" s="22">
        <v>82</v>
      </c>
      <c r="C83" s="22" t="s">
        <v>393</v>
      </c>
      <c r="D83" s="22" t="s">
        <v>13</v>
      </c>
      <c r="E83" s="22" t="s">
        <v>394</v>
      </c>
      <c r="F83" s="22" t="str">
        <f ca="1">IFERROR(__xludf.DUMMYFUNCTION("GOOGLETRANSLATE(E83,""ar"",""en"")"),"This is related to the advantages section, and he is responsible.")</f>
        <v>This is related to the advantages section, and he is responsible.</v>
      </c>
      <c r="G83" s="22" t="s">
        <v>3581</v>
      </c>
      <c r="H83" s="24" t="s">
        <v>3587</v>
      </c>
      <c r="I83" s="22" t="s">
        <v>338</v>
      </c>
      <c r="J83" s="5" t="str">
        <f ca="1">IFERROR(__xludf.DUMMYFUNCTION("GOOGLETRANSLATE(G83,""ar"",""en"")"),"Fog neighborhood")</f>
        <v>Fog neighborhood</v>
      </c>
      <c r="K83" s="5"/>
      <c r="L83" s="5"/>
      <c r="M83" s="5" t="str">
        <f ca="1">IFERROR(__xludf.DUMMYFUNCTION("GOOGLETRANSLATE(J83,""ar"",""en"")"),"#VALUE!")</f>
        <v>#VALUE!</v>
      </c>
      <c r="N83" s="6" t="s">
        <v>395</v>
      </c>
      <c r="O83" s="8" t="s">
        <v>396</v>
      </c>
    </row>
    <row r="84" spans="1:15" ht="20.100000000000001" customHeight="1" thickTop="1" thickBot="1">
      <c r="A84" s="1"/>
      <c r="B84" s="22">
        <v>83</v>
      </c>
      <c r="C84" s="22" t="s">
        <v>397</v>
      </c>
      <c r="D84" s="22" t="s">
        <v>13</v>
      </c>
      <c r="E84" s="22" t="s">
        <v>398</v>
      </c>
      <c r="F84" s="22" t="str">
        <f ca="1">IFERROR(__xludf.DUMMYFUNCTION("GOOGLETRANSLATE(E84,""ar"",""en"")"),"Star Hala Supermarkets")</f>
        <v>Star Hala Supermarkets</v>
      </c>
      <c r="G84" s="22" t="s">
        <v>3581</v>
      </c>
      <c r="H84" s="24" t="s">
        <v>3587</v>
      </c>
      <c r="I84" s="22" t="s">
        <v>366</v>
      </c>
      <c r="J84" s="5" t="str">
        <f ca="1">IFERROR(__xludf.DUMMYFUNCTION("GOOGLETRANSLATE(G84,""ar"",""en"")"),"One neighborhood")</f>
        <v>One neighborhood</v>
      </c>
      <c r="K84" s="5">
        <v>509837825</v>
      </c>
      <c r="L84" s="5" t="s">
        <v>294</v>
      </c>
      <c r="M84" s="5" t="str">
        <f ca="1">IFERROR(__xludf.DUMMYFUNCTION("GOOGLETRANSLATE(J84,""ar"",""en"")"),"Mohammed")</f>
        <v>Mohammed</v>
      </c>
      <c r="N84" s="6" t="s">
        <v>399</v>
      </c>
      <c r="O84" s="8" t="s">
        <v>400</v>
      </c>
    </row>
    <row r="85" spans="1:15" ht="20.100000000000001" customHeight="1" thickTop="1" thickBot="1">
      <c r="A85" s="1"/>
      <c r="B85" s="22">
        <v>84</v>
      </c>
      <c r="C85" s="22" t="s">
        <v>401</v>
      </c>
      <c r="D85" s="22" t="s">
        <v>13</v>
      </c>
      <c r="E85" s="22" t="s">
        <v>402</v>
      </c>
      <c r="F85" s="22" t="str">
        <f ca="1">IFERROR(__xludf.DUMMYFUNCTION("GOOGLETRANSLATE(E85,""ar"",""en"")"),"Babylon Markets, Al-Harithi Station")</f>
        <v>Babylon Markets, Al-Harithi Station</v>
      </c>
      <c r="G85" s="22" t="s">
        <v>3581</v>
      </c>
      <c r="H85" s="24" t="s">
        <v>3587</v>
      </c>
      <c r="I85" s="22" t="s">
        <v>366</v>
      </c>
      <c r="J85" s="5" t="str">
        <f ca="1">IFERROR(__xludf.DUMMYFUNCTION("GOOGLETRANSLATE(G85,""ar"",""en"")"),"One neighborhood")</f>
        <v>One neighborhood</v>
      </c>
      <c r="K85" s="5">
        <v>535253102</v>
      </c>
      <c r="L85" s="5" t="s">
        <v>403</v>
      </c>
      <c r="M85" s="5" t="str">
        <f ca="1">IFERROR(__xludf.DUMMYFUNCTION("GOOGLETRANSLATE(J85,""ar"",""en"")"),"Haitham Al-Awadhi")</f>
        <v>Haitham Al-Awadhi</v>
      </c>
      <c r="N85" s="6" t="s">
        <v>404</v>
      </c>
      <c r="O85" s="8" t="s">
        <v>405</v>
      </c>
    </row>
    <row r="86" spans="1:15" ht="20.100000000000001" customHeight="1" thickTop="1" thickBot="1">
      <c r="A86" s="1"/>
      <c r="B86" s="22">
        <v>85</v>
      </c>
      <c r="C86" s="22" t="s">
        <v>406</v>
      </c>
      <c r="D86" s="22" t="s">
        <v>13</v>
      </c>
      <c r="E86" s="22" t="s">
        <v>407</v>
      </c>
      <c r="F86" s="22" t="str">
        <f ca="1">IFERROR(__xludf.DUMMYFUNCTION("GOOGLETRANSLATE(E86,""ar"",""en"")"),"Green Marketing Center")</f>
        <v>Green Marketing Center</v>
      </c>
      <c r="G86" s="22" t="s">
        <v>3581</v>
      </c>
      <c r="H86" s="24" t="s">
        <v>3587</v>
      </c>
      <c r="I86" s="22" t="s">
        <v>366</v>
      </c>
      <c r="J86" s="5" t="str">
        <f ca="1">IFERROR(__xludf.DUMMYFUNCTION("GOOGLETRANSLATE(G86,""ar"",""en"")"),"One neighborhood")</f>
        <v>One neighborhood</v>
      </c>
      <c r="K86" s="5">
        <v>578143350</v>
      </c>
      <c r="L86" s="5" t="s">
        <v>408</v>
      </c>
      <c r="M86" s="5" t="str">
        <f ca="1">IFERROR(__xludf.DUMMYFUNCTION("GOOGLETRANSLATE(J86,""ar"",""en"")"),"Job")</f>
        <v>Job</v>
      </c>
      <c r="N86" s="6" t="s">
        <v>409</v>
      </c>
      <c r="O86" s="8" t="s">
        <v>410</v>
      </c>
    </row>
    <row r="87" spans="1:15" ht="20.100000000000001" customHeight="1" thickTop="1" thickBot="1">
      <c r="A87" s="1"/>
      <c r="B87" s="22">
        <v>86</v>
      </c>
      <c r="C87" s="22" t="s">
        <v>411</v>
      </c>
      <c r="D87" s="22" t="s">
        <v>13</v>
      </c>
      <c r="E87" s="22" t="s">
        <v>412</v>
      </c>
      <c r="F87" s="22" t="str">
        <f ca="1">IFERROR(__xludf.DUMMYFUNCTION("GOOGLETRANSLATE(E87,""ar"",""en"")"),"The science of the savings basket")</f>
        <v>The science of the savings basket</v>
      </c>
      <c r="G87" s="22" t="s">
        <v>3581</v>
      </c>
      <c r="H87" s="24" t="s">
        <v>3587</v>
      </c>
      <c r="I87" s="22" t="s">
        <v>366</v>
      </c>
      <c r="J87" s="5" t="str">
        <f ca="1">IFERROR(__xludf.DUMMYFUNCTION("GOOGLETRANSLATE(G87,""ar"",""en"")"),"One neighborhood")</f>
        <v>One neighborhood</v>
      </c>
      <c r="K87" s="5">
        <v>566067969</v>
      </c>
      <c r="L87" s="5" t="s">
        <v>413</v>
      </c>
      <c r="M87" s="5" t="str">
        <f ca="1">IFERROR(__xludf.DUMMYFUNCTION("GOOGLETRANSLATE(J87,""ar"",""en"")"),"Abu Laith")</f>
        <v>Abu Laith</v>
      </c>
      <c r="N87" s="6" t="s">
        <v>414</v>
      </c>
      <c r="O87" s="8" t="s">
        <v>415</v>
      </c>
    </row>
    <row r="88" spans="1:15" ht="20.100000000000001" customHeight="1" thickTop="1" thickBot="1">
      <c r="A88" s="1"/>
      <c r="B88" s="22">
        <v>87</v>
      </c>
      <c r="C88" s="22" t="s">
        <v>416</v>
      </c>
      <c r="D88" s="22" t="s">
        <v>13</v>
      </c>
      <c r="E88" s="22" t="s">
        <v>417</v>
      </c>
      <c r="F88" s="22" t="str">
        <f ca="1">IFERROR(__xludf.DUMMYFUNCTION("GOOGLETRANSLATE(E88,""ar"",""en"")"),"Riyadh Al-Ibdaa Supplies")</f>
        <v>Riyadh Al-Ibdaa Supplies</v>
      </c>
      <c r="G88" s="22" t="s">
        <v>3581</v>
      </c>
      <c r="H88" s="24" t="s">
        <v>3587</v>
      </c>
      <c r="I88" s="22" t="s">
        <v>366</v>
      </c>
      <c r="J88" s="5" t="str">
        <f ca="1">IFERROR(__xludf.DUMMYFUNCTION("GOOGLETRANSLATE(G88,""ar"",""en"")"),"One neighborhood")</f>
        <v>One neighborhood</v>
      </c>
      <c r="K88" s="5">
        <v>577358360</v>
      </c>
      <c r="L88" s="5" t="s">
        <v>418</v>
      </c>
      <c r="M88" s="5" t="str">
        <f ca="1">IFERROR(__xludf.DUMMYFUNCTION("GOOGLETRANSLATE(J88,""ar"",""en"")"),"Riyadh")</f>
        <v>Riyadh</v>
      </c>
      <c r="N88" s="6" t="s">
        <v>419</v>
      </c>
      <c r="O88" s="8" t="s">
        <v>420</v>
      </c>
    </row>
    <row r="89" spans="1:15" ht="20.100000000000001" customHeight="1" thickTop="1" thickBot="1">
      <c r="A89" s="1"/>
      <c r="B89" s="22">
        <v>88</v>
      </c>
      <c r="C89" s="22" t="s">
        <v>421</v>
      </c>
      <c r="D89" s="22" t="s">
        <v>13</v>
      </c>
      <c r="E89" s="22" t="s">
        <v>422</v>
      </c>
      <c r="F89" s="22" t="str">
        <f ca="1">IFERROR(__xludf.DUMMYFUNCTION("GOOGLETRANSLATE(E89,""ar"",""en"")"),"Mansour Grocery")</f>
        <v>Mansour Grocery</v>
      </c>
      <c r="G89" s="22" t="s">
        <v>3581</v>
      </c>
      <c r="H89" s="24" t="s">
        <v>3587</v>
      </c>
      <c r="I89" s="22" t="s">
        <v>366</v>
      </c>
      <c r="J89" s="5" t="str">
        <f ca="1">IFERROR(__xludf.DUMMYFUNCTION("GOOGLETRANSLATE(G89,""ar"",""en"")"),"One neighborhood")</f>
        <v>One neighborhood</v>
      </c>
      <c r="K89" s="5">
        <v>504318922</v>
      </c>
      <c r="L89" s="5" t="s">
        <v>423</v>
      </c>
      <c r="M89" s="5" t="str">
        <f ca="1">IFERROR(__xludf.DUMMYFUNCTION("GOOGLETRANSLATE(J89,""ar"",""en"")"),"Mansour Nasser")</f>
        <v>Mansour Nasser</v>
      </c>
      <c r="N89" s="6" t="s">
        <v>424</v>
      </c>
      <c r="O89" s="8" t="s">
        <v>425</v>
      </c>
    </row>
    <row r="90" spans="1:15" ht="20.100000000000001" customHeight="1" thickTop="1" thickBot="1">
      <c r="A90" s="1"/>
      <c r="B90" s="22">
        <v>89</v>
      </c>
      <c r="C90" s="22" t="s">
        <v>426</v>
      </c>
      <c r="D90" s="22" t="s">
        <v>13</v>
      </c>
      <c r="E90" s="22" t="s">
        <v>427</v>
      </c>
      <c r="F90" s="22" t="str">
        <f ca="1">IFERROR(__xludf.DUMMYFUNCTION("GOOGLETRANSLATE(E90,""ar"",""en"")"),"Ferial Grocery")</f>
        <v>Ferial Grocery</v>
      </c>
      <c r="G90" s="22" t="s">
        <v>3581</v>
      </c>
      <c r="H90" s="24" t="s">
        <v>3587</v>
      </c>
      <c r="I90" s="22" t="s">
        <v>366</v>
      </c>
      <c r="J90" s="5" t="str">
        <f ca="1">IFERROR(__xludf.DUMMYFUNCTION("GOOGLETRANSLATE(G90,""ar"",""en"")"),"One neighborhood")</f>
        <v>One neighborhood</v>
      </c>
      <c r="K90" s="5">
        <v>542383450</v>
      </c>
      <c r="L90" s="5" t="s">
        <v>428</v>
      </c>
      <c r="M90" s="5" t="str">
        <f ca="1">IFERROR(__xludf.DUMMYFUNCTION("GOOGLETRANSLATE(J90,""ar"",""en"")"),"Mustafa")</f>
        <v>Mustafa</v>
      </c>
      <c r="N90" s="6" t="s">
        <v>429</v>
      </c>
      <c r="O90" s="8" t="s">
        <v>430</v>
      </c>
    </row>
    <row r="91" spans="1:15" ht="20.100000000000001" customHeight="1" thickTop="1" thickBot="1">
      <c r="A91" s="1"/>
      <c r="B91" s="22">
        <v>90</v>
      </c>
      <c r="C91" s="22" t="s">
        <v>431</v>
      </c>
      <c r="D91" s="22" t="s">
        <v>13</v>
      </c>
      <c r="E91" s="22" t="s">
        <v>432</v>
      </c>
      <c r="F91" s="22" t="str">
        <f ca="1">IFERROR(__xludf.DUMMYFUNCTION("GOOGLETRANSLATE(E91,""ar"",""en"")"),"Dunya Al-Qassim Company")</f>
        <v>Dunya Al-Qassim Company</v>
      </c>
      <c r="G91" s="22" t="s">
        <v>3581</v>
      </c>
      <c r="H91" s="24" t="s">
        <v>3587</v>
      </c>
      <c r="I91" s="22" t="s">
        <v>366</v>
      </c>
      <c r="J91" s="5" t="str">
        <f ca="1">IFERROR(__xludf.DUMMYFUNCTION("GOOGLETRANSLATE(G91,""ar"",""en"")"),"One neighborhood")</f>
        <v>One neighborhood</v>
      </c>
      <c r="K91" s="5">
        <v>581230350</v>
      </c>
      <c r="L91" s="5" t="s">
        <v>433</v>
      </c>
      <c r="M91" s="5" t="str">
        <f ca="1">IFERROR(__xludf.DUMMYFUNCTION("GOOGLETRANSLATE(J91,""ar"",""en"")"),"The wolf")</f>
        <v>The wolf</v>
      </c>
      <c r="N91" s="6" t="s">
        <v>434</v>
      </c>
      <c r="O91" s="8" t="s">
        <v>435</v>
      </c>
    </row>
    <row r="92" spans="1:15" ht="20.100000000000001" customHeight="1" thickTop="1" thickBot="1">
      <c r="A92" s="1"/>
      <c r="B92" s="22">
        <v>91</v>
      </c>
      <c r="C92" s="22" t="s">
        <v>436</v>
      </c>
      <c r="D92" s="22" t="s">
        <v>13</v>
      </c>
      <c r="E92" s="22" t="s">
        <v>437</v>
      </c>
      <c r="F92" s="22" t="str">
        <f ca="1">IFERROR(__xludf.DUMMYFUNCTION("GOOGLETRANSLATE(E92,""ar"",""en"")"),"Khairat Al-Ahad 2 Grocery")</f>
        <v>Khairat Al-Ahad 2 Grocery</v>
      </c>
      <c r="G92" s="22" t="s">
        <v>3581</v>
      </c>
      <c r="H92" s="24" t="s">
        <v>3587</v>
      </c>
      <c r="I92" s="22" t="s">
        <v>366</v>
      </c>
      <c r="J92" s="5" t="str">
        <f ca="1">IFERROR(__xludf.DUMMYFUNCTION("GOOGLETRANSLATE(G92,""ar"",""en"")"),"One neighborhood")</f>
        <v>One neighborhood</v>
      </c>
      <c r="K92" s="5">
        <v>554794742</v>
      </c>
      <c r="L92" s="5"/>
      <c r="M92" s="5" t="str">
        <f ca="1">IFERROR(__xludf.DUMMYFUNCTION("GOOGLETRANSLATE(J92,""ar"",""en"")"),"#VALUE!")</f>
        <v>#VALUE!</v>
      </c>
      <c r="N92" s="6" t="s">
        <v>438</v>
      </c>
      <c r="O92" s="8" t="s">
        <v>439</v>
      </c>
    </row>
    <row r="93" spans="1:15" ht="20.100000000000001" customHeight="1" thickTop="1" thickBot="1">
      <c r="A93" s="1"/>
      <c r="B93" s="22">
        <v>92</v>
      </c>
      <c r="C93" s="22" t="s">
        <v>440</v>
      </c>
      <c r="D93" s="22" t="s">
        <v>13</v>
      </c>
      <c r="E93" s="22" t="s">
        <v>441</v>
      </c>
      <c r="F93" s="22" t="str">
        <f ca="1">IFERROR(__xludf.DUMMYFUNCTION("GOOGLETRANSLATE(E93,""ar"",""en"")"),"Abdulkarim Sanabel Lama Supplies")</f>
        <v>Abdulkarim Sanabel Lama Supplies</v>
      </c>
      <c r="G93" s="22" t="s">
        <v>3581</v>
      </c>
      <c r="H93" s="24" t="s">
        <v>3587</v>
      </c>
      <c r="I93" s="22" t="s">
        <v>366</v>
      </c>
      <c r="J93" s="5" t="str">
        <f ca="1">IFERROR(__xludf.DUMMYFUNCTION("GOOGLETRANSLATE(G93,""ar"",""en"")"),"One neighborhood")</f>
        <v>One neighborhood</v>
      </c>
      <c r="K93" s="5">
        <v>504716768</v>
      </c>
      <c r="L93" s="5"/>
      <c r="M93" s="5" t="str">
        <f ca="1">IFERROR(__xludf.DUMMYFUNCTION("GOOGLETRANSLATE(J93,""ar"",""en"")"),"#VALUE!")</f>
        <v>#VALUE!</v>
      </c>
      <c r="N93" s="6" t="s">
        <v>442</v>
      </c>
      <c r="O93" s="8" t="s">
        <v>443</v>
      </c>
    </row>
    <row r="94" spans="1:15" ht="20.100000000000001" customHeight="1" thickTop="1" thickBot="1">
      <c r="A94" s="1"/>
      <c r="B94" s="22">
        <v>93</v>
      </c>
      <c r="C94" s="22" t="s">
        <v>444</v>
      </c>
      <c r="D94" s="22" t="s">
        <v>13</v>
      </c>
      <c r="E94" s="22" t="s">
        <v>445</v>
      </c>
      <c r="F94" s="22" t="str">
        <f ca="1">IFERROR(__xludf.DUMMYFUNCTION("GOOGLETRANSLATE(E94,""ar"",""en"")"),"Ritaj Supplies")</f>
        <v>Ritaj Supplies</v>
      </c>
      <c r="G94" s="22" t="s">
        <v>3581</v>
      </c>
      <c r="H94" s="24" t="s">
        <v>3587</v>
      </c>
      <c r="I94" s="22" t="s">
        <v>366</v>
      </c>
      <c r="J94" s="5" t="str">
        <f ca="1">IFERROR(__xludf.DUMMYFUNCTION("GOOGLETRANSLATE(G94,""ar"",""en"")"),"One neighborhood")</f>
        <v>One neighborhood</v>
      </c>
      <c r="K94" s="5">
        <v>533829155</v>
      </c>
      <c r="L94" s="5" t="s">
        <v>446</v>
      </c>
      <c r="M94" s="5" t="str">
        <f ca="1">IFERROR(__xludf.DUMMYFUNCTION("GOOGLETRANSLATE(J94,""ar"",""en"")"),"Aaron")</f>
        <v>Aaron</v>
      </c>
      <c r="N94" s="6" t="s">
        <v>447</v>
      </c>
      <c r="O94" s="8" t="s">
        <v>448</v>
      </c>
    </row>
    <row r="95" spans="1:15" ht="20.100000000000001" customHeight="1" thickTop="1" thickBot="1">
      <c r="A95" s="1"/>
      <c r="B95" s="22">
        <v>94</v>
      </c>
      <c r="C95" s="22" t="s">
        <v>449</v>
      </c>
      <c r="D95" s="22" t="s">
        <v>13</v>
      </c>
      <c r="E95" s="22" t="s">
        <v>450</v>
      </c>
      <c r="F95" s="22" t="str">
        <f ca="1">IFERROR(__xludf.DUMMYFUNCTION("GOOGLETRANSLATE(E95,""ar"",""en"")"),"The wonderful star")</f>
        <v>The wonderful star</v>
      </c>
      <c r="G95" s="22" t="s">
        <v>3581</v>
      </c>
      <c r="H95" s="24" t="s">
        <v>3587</v>
      </c>
      <c r="I95" s="22" t="s">
        <v>366</v>
      </c>
      <c r="J95" s="5" t="str">
        <f ca="1">IFERROR(__xludf.DUMMYFUNCTION("GOOGLETRANSLATE(G95,""ar"",""en"")"),"One neighborhood")</f>
        <v>One neighborhood</v>
      </c>
      <c r="K95" s="5">
        <v>502948618</v>
      </c>
      <c r="L95" s="5" t="s">
        <v>428</v>
      </c>
      <c r="M95" s="5" t="str">
        <f ca="1">IFERROR(__xludf.DUMMYFUNCTION("GOOGLETRANSLATE(J95,""ar"",""en"")"),"Mustafa")</f>
        <v>Mustafa</v>
      </c>
      <c r="N95" s="6" t="s">
        <v>451</v>
      </c>
      <c r="O95" s="8" t="s">
        <v>452</v>
      </c>
    </row>
    <row r="96" spans="1:15" ht="20.100000000000001" customHeight="1" thickTop="1" thickBot="1">
      <c r="A96" s="1"/>
      <c r="B96" s="22">
        <v>95</v>
      </c>
      <c r="C96" s="22" t="s">
        <v>453</v>
      </c>
      <c r="D96" s="22" t="s">
        <v>13</v>
      </c>
      <c r="E96" s="22" t="s">
        <v>454</v>
      </c>
      <c r="F96" s="22" t="str">
        <f ca="1">IFERROR(__xludf.DUMMYFUNCTION("GOOGLETRANSLATE(E96,""ar"",""en"")"),"Consumer generosity markets")</f>
        <v>Consumer generosity markets</v>
      </c>
      <c r="G96" s="22" t="s">
        <v>3581</v>
      </c>
      <c r="H96" s="24" t="s">
        <v>3587</v>
      </c>
      <c r="I96" s="22" t="s">
        <v>366</v>
      </c>
      <c r="J96" s="5" t="str">
        <f ca="1">IFERROR(__xludf.DUMMYFUNCTION("GOOGLETRANSLATE(G96,""ar"",""en"")"),"One neighborhood")</f>
        <v>One neighborhood</v>
      </c>
      <c r="K96" s="5">
        <v>568185284</v>
      </c>
      <c r="L96" s="5" t="s">
        <v>455</v>
      </c>
      <c r="M96" s="5" t="str">
        <f ca="1">IFERROR(__xludf.DUMMYFUNCTION("GOOGLETRANSLATE(J96,""ar"",""en"")"),"Abdul Qawi")</f>
        <v>Abdul Qawi</v>
      </c>
      <c r="N96" s="6" t="s">
        <v>456</v>
      </c>
      <c r="O96" s="8" t="s">
        <v>457</v>
      </c>
    </row>
    <row r="97" spans="1:15" ht="20.100000000000001" customHeight="1" thickTop="1" thickBot="1">
      <c r="A97" s="1"/>
      <c r="B97" s="22">
        <v>96</v>
      </c>
      <c r="C97" s="22" t="s">
        <v>458</v>
      </c>
      <c r="D97" s="22" t="s">
        <v>13</v>
      </c>
      <c r="E97" s="22" t="s">
        <v>459</v>
      </c>
      <c r="F97" s="22" t="str">
        <f ca="1">IFERROR(__xludf.DUMMYFUNCTION("GOOGLETRANSLATE(E97,""ar"",""en"")"),"Durar Food Supplies, Hayy")</f>
        <v>Durar Food Supplies, Hayy</v>
      </c>
      <c r="G97" s="22" t="s">
        <v>3581</v>
      </c>
      <c r="H97" s="24" t="s">
        <v>3587</v>
      </c>
      <c r="I97" s="22" t="s">
        <v>366</v>
      </c>
      <c r="J97" s="5" t="str">
        <f ca="1">IFERROR(__xludf.DUMMYFUNCTION("GOOGLETRANSLATE(G97,""ar"",""en"")"),"One neighborhood")</f>
        <v>One neighborhood</v>
      </c>
      <c r="K97" s="5">
        <v>557965568</v>
      </c>
      <c r="L97" s="5" t="s">
        <v>460</v>
      </c>
      <c r="M97" s="5" t="str">
        <f ca="1">IFERROR(__xludf.DUMMYFUNCTION("GOOGLETRANSLATE(J97,""ar"",""en"")"),"Suhaib")</f>
        <v>Suhaib</v>
      </c>
      <c r="N97" s="6" t="s">
        <v>461</v>
      </c>
      <c r="O97" s="8" t="s">
        <v>462</v>
      </c>
    </row>
    <row r="98" spans="1:15" ht="20.100000000000001" customHeight="1" thickTop="1" thickBot="1">
      <c r="A98" s="1"/>
      <c r="B98" s="22">
        <v>97</v>
      </c>
      <c r="C98" s="22" t="s">
        <v>463</v>
      </c>
      <c r="D98" s="22" t="s">
        <v>13</v>
      </c>
      <c r="E98" s="22" t="s">
        <v>464</v>
      </c>
      <c r="F98" s="22" t="str">
        <f ca="1">IFERROR(__xludf.DUMMYFUNCTION("GOOGLETRANSLATE(E98,""ar"",""en"")"),"Reem Al Saada Foundation")</f>
        <v>Reem Al Saada Foundation</v>
      </c>
      <c r="G98" s="22" t="s">
        <v>3581</v>
      </c>
      <c r="H98" s="24" t="s">
        <v>3587</v>
      </c>
      <c r="I98" s="22" t="s">
        <v>366</v>
      </c>
      <c r="J98" s="5" t="str">
        <f ca="1">IFERROR(__xludf.DUMMYFUNCTION("GOOGLETRANSLATE(G98,""ar"",""en"")"),"One neighborhood")</f>
        <v>One neighborhood</v>
      </c>
      <c r="K98" s="5">
        <v>510267887</v>
      </c>
      <c r="L98" s="5" t="s">
        <v>294</v>
      </c>
      <c r="M98" s="5" t="str">
        <f ca="1">IFERROR(__xludf.DUMMYFUNCTION("GOOGLETRANSLATE(J98,""ar"",""en"")"),"Mohammed")</f>
        <v>Mohammed</v>
      </c>
      <c r="N98" s="6" t="s">
        <v>465</v>
      </c>
      <c r="O98" s="8" t="s">
        <v>466</v>
      </c>
    </row>
    <row r="99" spans="1:15" ht="20.100000000000001" customHeight="1" thickTop="1" thickBot="1">
      <c r="A99" s="1"/>
      <c r="B99" s="22">
        <v>98</v>
      </c>
      <c r="C99" s="22" t="s">
        <v>467</v>
      </c>
      <c r="D99" s="22" t="s">
        <v>13</v>
      </c>
      <c r="E99" s="22" t="s">
        <v>468</v>
      </c>
      <c r="F99" s="22" t="str">
        <f ca="1">IFERROR(__xludf.DUMMYFUNCTION("GOOGLETRANSLATE(E99,""ar"",""en"")"),"Abdullah Salem Al-Nahdi Supplies")</f>
        <v>Abdullah Salem Al-Nahdi Supplies</v>
      </c>
      <c r="G99" s="22" t="s">
        <v>3581</v>
      </c>
      <c r="H99" s="24" t="s">
        <v>3587</v>
      </c>
      <c r="I99" s="22" t="s">
        <v>469</v>
      </c>
      <c r="J99" s="5" t="str">
        <f ca="1">IFERROR(__xludf.DUMMYFUNCTION("GOOGLETRANSLATE(G99,""ar"",""en"")"),"Badr neighborhood")</f>
        <v>Badr neighborhood</v>
      </c>
      <c r="K99" s="5">
        <v>505585242</v>
      </c>
      <c r="L99" s="5" t="s">
        <v>470</v>
      </c>
      <c r="M99" s="5" t="str">
        <f ca="1">IFERROR(__xludf.DUMMYFUNCTION("GOOGLETRANSLATE(J99,""ar"",""en"")"),"Tareq")</f>
        <v>Tareq</v>
      </c>
      <c r="N99" s="6" t="s">
        <v>471</v>
      </c>
      <c r="O99" s="8" t="s">
        <v>472</v>
      </c>
    </row>
    <row r="100" spans="1:15" ht="20.100000000000001" customHeight="1" thickTop="1" thickBot="1">
      <c r="A100" s="1"/>
      <c r="B100" s="22">
        <v>99</v>
      </c>
      <c r="C100" s="22" t="s">
        <v>473</v>
      </c>
      <c r="D100" s="22" t="s">
        <v>13</v>
      </c>
      <c r="E100" s="22" t="s">
        <v>474</v>
      </c>
      <c r="F100" s="22" t="str">
        <f ca="1">IFERROR(__xludf.DUMMYFUNCTION("GOOGLETRANSLATE(E100,""ar"",""en"")"),"Sky Consumer Central Markets")</f>
        <v>Sky Consumer Central Markets</v>
      </c>
      <c r="G100" s="22" t="s">
        <v>3581</v>
      </c>
      <c r="H100" s="24" t="s">
        <v>3587</v>
      </c>
      <c r="I100" s="22" t="s">
        <v>469</v>
      </c>
      <c r="J100" s="5" t="str">
        <f ca="1">IFERROR(__xludf.DUMMYFUNCTION("GOOGLETRANSLATE(G100,""ar"",""en"")"),"Badr neighborhood")</f>
        <v>Badr neighborhood</v>
      </c>
      <c r="K100" s="5">
        <v>531682700</v>
      </c>
      <c r="L100" s="5" t="s">
        <v>475</v>
      </c>
      <c r="M100" s="5" t="str">
        <f ca="1">IFERROR(__xludf.DUMMYFUNCTION("GOOGLETRANSLATE(J100,""ar"",""en"")"),"happy")</f>
        <v>happy</v>
      </c>
      <c r="N100" s="6" t="s">
        <v>476</v>
      </c>
      <c r="O100" s="8" t="s">
        <v>477</v>
      </c>
    </row>
    <row r="101" spans="1:15" ht="20.100000000000001" customHeight="1" thickTop="1" thickBot="1">
      <c r="A101" s="1"/>
      <c r="B101" s="22">
        <v>100</v>
      </c>
      <c r="C101" s="22" t="s">
        <v>478</v>
      </c>
      <c r="D101" s="22" t="s">
        <v>13</v>
      </c>
      <c r="E101" s="22" t="s">
        <v>479</v>
      </c>
      <c r="F101" s="22" t="str">
        <f ca="1">IFERROR(__xludf.DUMMYFUNCTION("GOOGLETRANSLATE(E101,""ar"",""en"")"),"Al Baraka Grocery 2")</f>
        <v>Al Baraka Grocery 2</v>
      </c>
      <c r="G101" s="22" t="s">
        <v>3581</v>
      </c>
      <c r="H101" s="24" t="s">
        <v>3587</v>
      </c>
      <c r="I101" s="22" t="s">
        <v>469</v>
      </c>
      <c r="J101" s="5" t="str">
        <f ca="1">IFERROR(__xludf.DUMMYFUNCTION("GOOGLETRANSLATE(G101,""ar"",""en"")"),"Badr neighborhood")</f>
        <v>Badr neighborhood</v>
      </c>
      <c r="K101" s="5">
        <v>597207793</v>
      </c>
      <c r="L101" s="5" t="s">
        <v>480</v>
      </c>
      <c r="M101" s="5" t="str">
        <f ca="1">IFERROR(__xludf.DUMMYFUNCTION("GOOGLETRANSLATE(J101,""ar"",""en"")"),"Demel")</f>
        <v>Demel</v>
      </c>
      <c r="N101" s="6" t="s">
        <v>481</v>
      </c>
      <c r="O101" s="8" t="s">
        <v>482</v>
      </c>
    </row>
    <row r="102" spans="1:15" ht="20.100000000000001" customHeight="1" thickTop="1" thickBot="1">
      <c r="A102" s="1"/>
      <c r="B102" s="22">
        <v>101</v>
      </c>
      <c r="C102" s="22" t="s">
        <v>483</v>
      </c>
      <c r="D102" s="22" t="s">
        <v>13</v>
      </c>
      <c r="E102" s="22" t="s">
        <v>484</v>
      </c>
      <c r="F102" s="22" t="str">
        <f ca="1">IFERROR(__xludf.DUMMYFUNCTION("GOOGLETRANSLATE(E102,""ar"",""en"")"),"Rabou Dhawi Supplies")</f>
        <v>Rabou Dhawi Supplies</v>
      </c>
      <c r="G102" s="22" t="s">
        <v>3581</v>
      </c>
      <c r="H102" s="24" t="s">
        <v>3587</v>
      </c>
      <c r="I102" s="22" t="s">
        <v>469</v>
      </c>
      <c r="J102" s="5" t="str">
        <f ca="1">IFERROR(__xludf.DUMMYFUNCTION("GOOGLETRANSLATE(G102,""ar"",""en"")"),"Badr neighborhood")</f>
        <v>Badr neighborhood</v>
      </c>
      <c r="K102" s="5">
        <v>592585838</v>
      </c>
      <c r="L102" s="5" t="s">
        <v>485</v>
      </c>
      <c r="M102" s="5" t="str">
        <f ca="1">IFERROR(__xludf.DUMMYFUNCTION("GOOGLETRANSLATE(J102,""ar"",""en"")"),"Mohammed Al-Ashwal")</f>
        <v>Mohammed Al-Ashwal</v>
      </c>
      <c r="N102" s="6" t="s">
        <v>486</v>
      </c>
      <c r="O102" s="8" t="s">
        <v>487</v>
      </c>
    </row>
    <row r="103" spans="1:15" ht="20.100000000000001" customHeight="1" thickTop="1" thickBot="1">
      <c r="A103" s="1"/>
      <c r="B103" s="22">
        <v>102</v>
      </c>
      <c r="C103" s="22" t="s">
        <v>488</v>
      </c>
      <c r="D103" s="22" t="s">
        <v>13</v>
      </c>
      <c r="E103" s="22" t="s">
        <v>489</v>
      </c>
      <c r="F103" s="22" t="str">
        <f ca="1">IFERROR(__xludf.DUMMYFUNCTION("GOOGLETRANSLATE(E103,""ar"",""en"")"),"Mir Eco Company Supermarket")</f>
        <v>Mir Eco Company Supermarket</v>
      </c>
      <c r="G103" s="22" t="s">
        <v>3581</v>
      </c>
      <c r="H103" s="24" t="s">
        <v>3587</v>
      </c>
      <c r="I103" s="22" t="s">
        <v>469</v>
      </c>
      <c r="J103" s="5" t="str">
        <f ca="1">IFERROR(__xludf.DUMMYFUNCTION("GOOGLETRANSLATE(G103,""ar"",""en"")"),"Badr neighborhood")</f>
        <v>Badr neighborhood</v>
      </c>
      <c r="K103" s="5">
        <v>532332643</v>
      </c>
      <c r="L103" s="5" t="s">
        <v>490</v>
      </c>
      <c r="M103" s="5" t="str">
        <f ca="1">IFERROR(__xludf.DUMMYFUNCTION("GOOGLETRANSLATE(J103,""ar"",""en"")"),"Munir")</f>
        <v>Munir</v>
      </c>
      <c r="N103" s="6" t="s">
        <v>491</v>
      </c>
      <c r="O103" s="8" t="s">
        <v>492</v>
      </c>
    </row>
    <row r="104" spans="1:15" ht="20.100000000000001" customHeight="1" thickTop="1" thickBot="1">
      <c r="A104" s="1"/>
      <c r="B104" s="22">
        <v>103</v>
      </c>
      <c r="C104" s="22" t="s">
        <v>493</v>
      </c>
      <c r="D104" s="22" t="s">
        <v>13</v>
      </c>
      <c r="E104" s="22" t="s">
        <v>494</v>
      </c>
      <c r="F104" s="22" t="str">
        <f ca="1">IFERROR(__xludf.DUMMYFUNCTION("GOOGLETRANSLATE(E104,""ar"",""en"")"),"Abdulaziz Ibrahim Al-Awfi Grocery")</f>
        <v>Abdulaziz Ibrahim Al-Awfi Grocery</v>
      </c>
      <c r="G104" s="22" t="s">
        <v>3581</v>
      </c>
      <c r="H104" s="24" t="s">
        <v>3587</v>
      </c>
      <c r="I104" s="22" t="s">
        <v>469</v>
      </c>
      <c r="J104" s="5" t="str">
        <f ca="1">IFERROR(__xludf.DUMMYFUNCTION("GOOGLETRANSLATE(G104,""ar"",""en"")"),"Badr neighborhood")</f>
        <v>Badr neighborhood</v>
      </c>
      <c r="K104" s="5">
        <v>568852382</v>
      </c>
      <c r="L104" s="5" t="s">
        <v>88</v>
      </c>
      <c r="M104" s="5" t="str">
        <f ca="1">IFERROR(__xludf.DUMMYFUNCTION("GOOGLETRANSLATE(J104,""ar"",""en"")"),"supporter")</f>
        <v>supporter</v>
      </c>
      <c r="N104" s="6" t="s">
        <v>495</v>
      </c>
      <c r="O104" s="8" t="s">
        <v>496</v>
      </c>
    </row>
    <row r="105" spans="1:15" ht="20.100000000000001" customHeight="1" thickTop="1" thickBot="1">
      <c r="A105" s="1"/>
      <c r="B105" s="22">
        <v>104</v>
      </c>
      <c r="C105" s="22" t="s">
        <v>497</v>
      </c>
      <c r="D105" s="22" t="s">
        <v>13</v>
      </c>
      <c r="E105" s="22" t="s">
        <v>498</v>
      </c>
      <c r="F105" s="22" t="str">
        <f ca="1">IFERROR(__xludf.DUMMYFUNCTION("GOOGLETRANSLATE(E105,""ar"",""en"")"),"Atayeb Shopping Supplies")</f>
        <v>Atayeb Shopping Supplies</v>
      </c>
      <c r="G105" s="22" t="s">
        <v>3581</v>
      </c>
      <c r="H105" s="24" t="s">
        <v>3587</v>
      </c>
      <c r="I105" s="22" t="s">
        <v>469</v>
      </c>
      <c r="J105" s="5" t="str">
        <f ca="1">IFERROR(__xludf.DUMMYFUNCTION("GOOGLETRANSLATE(G105,""ar"",""en"")"),"Badr neighborhood")</f>
        <v>Badr neighborhood</v>
      </c>
      <c r="K105" s="5">
        <v>554603618</v>
      </c>
      <c r="L105" s="5" t="s">
        <v>499</v>
      </c>
      <c r="M105" s="5" t="str">
        <f ca="1">IFERROR(__xludf.DUMMYFUNCTION("GOOGLETRANSLATE(J105,""ar"",""en"")"),"Yusef")</f>
        <v>Yusef</v>
      </c>
      <c r="N105" s="6"/>
      <c r="O105" s="9"/>
    </row>
    <row r="106" spans="1:15" ht="20.100000000000001" customHeight="1" thickTop="1" thickBot="1">
      <c r="A106" s="1"/>
      <c r="B106" s="22">
        <v>105</v>
      </c>
      <c r="C106" s="22" t="s">
        <v>500</v>
      </c>
      <c r="D106" s="22" t="s">
        <v>13</v>
      </c>
      <c r="E106" s="22" t="s">
        <v>501</v>
      </c>
      <c r="F106" s="22" t="str">
        <f ca="1">IFERROR(__xludf.DUMMYFUNCTION("GOOGLETRANSLATE(E106,""ar"",""en"")"),"Khairat Ahad Grocery")</f>
        <v>Khairat Ahad Grocery</v>
      </c>
      <c r="G106" s="22" t="s">
        <v>3581</v>
      </c>
      <c r="H106" s="24" t="s">
        <v>3587</v>
      </c>
      <c r="I106" s="22" t="s">
        <v>469</v>
      </c>
      <c r="J106" s="5" t="str">
        <f ca="1">IFERROR(__xludf.DUMMYFUNCTION("GOOGLETRANSLATE(G106,""ar"",""en"")"),"Badr neighborhood")</f>
        <v>Badr neighborhood</v>
      </c>
      <c r="K106" s="5"/>
      <c r="L106" s="5"/>
      <c r="M106" s="5" t="str">
        <f ca="1">IFERROR(__xludf.DUMMYFUNCTION("GOOGLETRANSLATE(J106,""ar"",""en"")"),"#VALUE!")</f>
        <v>#VALUE!</v>
      </c>
      <c r="N106" s="6" t="s">
        <v>502</v>
      </c>
      <c r="O106" s="8" t="s">
        <v>503</v>
      </c>
    </row>
    <row r="107" spans="1:15" ht="20.100000000000001" customHeight="1" thickTop="1" thickBot="1">
      <c r="A107" s="1"/>
      <c r="B107" s="22">
        <v>106</v>
      </c>
      <c r="C107" s="22" t="s">
        <v>504</v>
      </c>
      <c r="D107" s="22" t="s">
        <v>13</v>
      </c>
      <c r="E107" s="22" t="s">
        <v>505</v>
      </c>
      <c r="F107" s="22" t="str">
        <f ca="1">IFERROR(__xludf.DUMMYFUNCTION("GOOGLETRANSLATE(E107,""ar"",""en"")"),"Basket Markets Mart")</f>
        <v>Basket Markets Mart</v>
      </c>
      <c r="G107" s="22" t="s">
        <v>3581</v>
      </c>
      <c r="H107" s="24" t="s">
        <v>3587</v>
      </c>
      <c r="I107" s="22" t="s">
        <v>469</v>
      </c>
      <c r="J107" s="5" t="str">
        <f ca="1">IFERROR(__xludf.DUMMYFUNCTION("GOOGLETRANSLATE(G107,""ar"",""en"")"),"Badr neighborhood")</f>
        <v>Badr neighborhood</v>
      </c>
      <c r="K107" s="5">
        <v>538252660</v>
      </c>
      <c r="L107" s="5" t="s">
        <v>506</v>
      </c>
      <c r="M107" s="5" t="str">
        <f ca="1">IFERROR(__xludf.DUMMYFUNCTION("GOOGLETRANSLATE(J107,""ar"",""en"")"),"Abu Ahmed")</f>
        <v>Abu Ahmed</v>
      </c>
      <c r="N107" s="6" t="s">
        <v>507</v>
      </c>
      <c r="O107" s="8" t="s">
        <v>508</v>
      </c>
    </row>
    <row r="108" spans="1:15" ht="20.100000000000001" customHeight="1" thickTop="1" thickBot="1">
      <c r="A108" s="1"/>
      <c r="B108" s="22">
        <v>107</v>
      </c>
      <c r="C108" s="22" t="s">
        <v>509</v>
      </c>
      <c r="D108" s="22" t="s">
        <v>13</v>
      </c>
      <c r="E108" s="22" t="s">
        <v>510</v>
      </c>
      <c r="F108" s="22" t="str">
        <f ca="1">IFERROR(__xludf.DUMMYFUNCTION("GOOGLETRANSLATE(E108,""ar"",""en"")"),"Abdulrahman's Supplies")</f>
        <v>Abdulrahman's Supplies</v>
      </c>
      <c r="G108" s="22" t="s">
        <v>3581</v>
      </c>
      <c r="H108" s="24" t="s">
        <v>3587</v>
      </c>
      <c r="I108" s="22" t="s">
        <v>469</v>
      </c>
      <c r="J108" s="5" t="str">
        <f ca="1">IFERROR(__xludf.DUMMYFUNCTION("GOOGLETRANSLATE(G108,""ar"",""en"")"),"Badr neighborhood")</f>
        <v>Badr neighborhood</v>
      </c>
      <c r="K108" s="5"/>
      <c r="L108" s="5"/>
      <c r="M108" s="5" t="str">
        <f ca="1">IFERROR(__xludf.DUMMYFUNCTION("GOOGLETRANSLATE(J108,""ar"",""en"")"),"#VALUE!")</f>
        <v>#VALUE!</v>
      </c>
      <c r="N108" s="6" t="s">
        <v>511</v>
      </c>
      <c r="O108" s="8" t="s">
        <v>512</v>
      </c>
    </row>
    <row r="109" spans="1:15" ht="20.100000000000001" customHeight="1" thickTop="1" thickBot="1">
      <c r="A109" s="1"/>
      <c r="B109" s="22">
        <v>108</v>
      </c>
      <c r="C109" s="22" t="s">
        <v>513</v>
      </c>
      <c r="D109" s="22" t="s">
        <v>13</v>
      </c>
      <c r="E109" s="22" t="s">
        <v>514</v>
      </c>
      <c r="F109" s="22" t="str">
        <f ca="1">IFERROR(__xludf.DUMMYFUNCTION("GOOGLETRANSLATE(E109,""ar"",""en"")"),"Ahlam Moussa Grocery")</f>
        <v>Ahlam Moussa Grocery</v>
      </c>
      <c r="G109" s="22" t="s">
        <v>3581</v>
      </c>
      <c r="H109" s="24" t="s">
        <v>3587</v>
      </c>
      <c r="I109" s="22" t="s">
        <v>469</v>
      </c>
      <c r="J109" s="5" t="str">
        <f ca="1">IFERROR(__xludf.DUMMYFUNCTION("GOOGLETRANSLATE(G109,""ar"",""en"")"),"Badr neighborhood")</f>
        <v>Badr neighborhood</v>
      </c>
      <c r="K109" s="5">
        <v>581237050</v>
      </c>
      <c r="L109" s="5" t="s">
        <v>515</v>
      </c>
      <c r="M109" s="5" t="str">
        <f ca="1">IFERROR(__xludf.DUMMYFUNCTION("GOOGLETRANSLATE(J109,""ar"",""en"")"),"Amjad Khaled")</f>
        <v>Amjad Khaled</v>
      </c>
      <c r="N109" s="6" t="s">
        <v>516</v>
      </c>
      <c r="O109" s="8" t="s">
        <v>517</v>
      </c>
    </row>
    <row r="110" spans="1:15" ht="20.100000000000001" customHeight="1" thickTop="1" thickBot="1">
      <c r="A110" s="1"/>
      <c r="B110" s="22">
        <v>109</v>
      </c>
      <c r="C110" s="22" t="s">
        <v>518</v>
      </c>
      <c r="D110" s="22" t="s">
        <v>13</v>
      </c>
      <c r="E110" s="22" t="s">
        <v>519</v>
      </c>
      <c r="F110" s="22" t="str">
        <f ca="1">IFERROR(__xludf.DUMMYFUNCTION("GOOGLETRANSLATE(E110,""ar"",""en"")"),"Ramla Al Gharb Supplies")</f>
        <v>Ramla Al Gharb Supplies</v>
      </c>
      <c r="G110" s="22" t="s">
        <v>3581</v>
      </c>
      <c r="H110" s="24" t="s">
        <v>3587</v>
      </c>
      <c r="I110" s="22" t="s">
        <v>469</v>
      </c>
      <c r="J110" s="5" t="str">
        <f ca="1">IFERROR(__xludf.DUMMYFUNCTION("GOOGLETRANSLATE(G110,""ar"",""en"")"),"Badr neighborhood")</f>
        <v>Badr neighborhood</v>
      </c>
      <c r="K110" s="5">
        <v>501579611</v>
      </c>
      <c r="L110" s="5" t="s">
        <v>520</v>
      </c>
      <c r="M110" s="5" t="str">
        <f ca="1">IFERROR(__xludf.DUMMYFUNCTION("GOOGLETRANSLATE(J110,""ar"",""en"")"),"Abdulhakim Al-Yafai")</f>
        <v>Abdulhakim Al-Yafai</v>
      </c>
      <c r="N110" s="6" t="s">
        <v>521</v>
      </c>
      <c r="O110" s="8" t="s">
        <v>522</v>
      </c>
    </row>
    <row r="111" spans="1:15" ht="20.100000000000001" customHeight="1" thickTop="1" thickBot="1">
      <c r="A111" s="1"/>
      <c r="B111" s="22">
        <v>110</v>
      </c>
      <c r="C111" s="22" t="s">
        <v>523</v>
      </c>
      <c r="D111" s="22" t="s">
        <v>13</v>
      </c>
      <c r="E111" s="22" t="s">
        <v>524</v>
      </c>
      <c r="F111" s="22" t="str">
        <f ca="1">IFERROR(__xludf.DUMMYFUNCTION("GOOGLETRANSLATE(E111,""ar"",""en"")"),"Good Deeds Markets")</f>
        <v>Good Deeds Markets</v>
      </c>
      <c r="G111" s="22" t="s">
        <v>3581</v>
      </c>
      <c r="H111" s="24" t="s">
        <v>3587</v>
      </c>
      <c r="I111" s="22" t="s">
        <v>469</v>
      </c>
      <c r="J111" s="5" t="str">
        <f ca="1">IFERROR(__xludf.DUMMYFUNCTION("GOOGLETRANSLATE(G111,""ar"",""en"")"),"Badr neighborhood")</f>
        <v>Badr neighborhood</v>
      </c>
      <c r="K111" s="5">
        <v>570356340</v>
      </c>
      <c r="L111" s="5" t="s">
        <v>525</v>
      </c>
      <c r="M111" s="5" t="str">
        <f ca="1">IFERROR(__xludf.DUMMYFUNCTION("GOOGLETRANSLATE(J111,""ar"",""en"")"),"Jawad Al-Hindi")</f>
        <v>Jawad Al-Hindi</v>
      </c>
      <c r="N111" s="6" t="s">
        <v>526</v>
      </c>
      <c r="O111" s="8" t="s">
        <v>527</v>
      </c>
    </row>
    <row r="112" spans="1:15" ht="20.100000000000001" customHeight="1" thickTop="1" thickBot="1">
      <c r="A112" s="1"/>
      <c r="B112" s="22">
        <v>111</v>
      </c>
      <c r="C112" s="22" t="s">
        <v>528</v>
      </c>
      <c r="D112" s="22" t="s">
        <v>13</v>
      </c>
      <c r="E112" s="22" t="s">
        <v>529</v>
      </c>
      <c r="F112" s="22" t="str">
        <f ca="1">IFERROR(__xludf.DUMMYFUNCTION("GOOGLETRANSLATE(E112,""ar"",""en"")"),"Consumer supplies science for what the consumer needs")</f>
        <v>Consumer supplies science for what the consumer needs</v>
      </c>
      <c r="G112" s="22" t="s">
        <v>3581</v>
      </c>
      <c r="H112" s="24" t="s">
        <v>3587</v>
      </c>
      <c r="I112" s="22" t="s">
        <v>469</v>
      </c>
      <c r="J112" s="5" t="str">
        <f ca="1">IFERROR(__xludf.DUMMYFUNCTION("GOOGLETRANSLATE(G112,""ar"",""en"")"),"Badr neighborhood")</f>
        <v>Badr neighborhood</v>
      </c>
      <c r="K112" s="5">
        <v>571918881</v>
      </c>
      <c r="L112" s="5"/>
      <c r="M112" s="5" t="str">
        <f ca="1">IFERROR(__xludf.DUMMYFUNCTION("GOOGLETRANSLATE(J112,""ar"",""en"")"),"#VALUE!")</f>
        <v>#VALUE!</v>
      </c>
      <c r="N112" s="6" t="s">
        <v>530</v>
      </c>
      <c r="O112" s="8" t="s">
        <v>531</v>
      </c>
    </row>
    <row r="113" spans="1:15" ht="20.100000000000001" customHeight="1" thickTop="1" thickBot="1">
      <c r="A113" s="1"/>
      <c r="B113" s="22">
        <v>112</v>
      </c>
      <c r="C113" s="22" t="s">
        <v>532</v>
      </c>
      <c r="D113" s="22" t="s">
        <v>13</v>
      </c>
      <c r="E113" s="22" t="s">
        <v>533</v>
      </c>
      <c r="F113" s="22" t="str">
        <f ca="1">IFERROR(__xludf.DUMMYFUNCTION("GOOGLETRANSLATE(E113,""ar"",""en"")"),"Provisions of sustenance and goodness")</f>
        <v>Provisions of sustenance and goodness</v>
      </c>
      <c r="G113" s="22" t="s">
        <v>3581</v>
      </c>
      <c r="H113" s="24" t="s">
        <v>3587</v>
      </c>
      <c r="I113" s="22" t="s">
        <v>469</v>
      </c>
      <c r="J113" s="5" t="str">
        <f ca="1">IFERROR(__xludf.DUMMYFUNCTION("GOOGLETRANSLATE(G113,""ar"",""en"")"),"Badr neighborhood")</f>
        <v>Badr neighborhood</v>
      </c>
      <c r="K113" s="5"/>
      <c r="L113" s="5"/>
      <c r="M113" s="5" t="str">
        <f ca="1">IFERROR(__xludf.DUMMYFUNCTION("GOOGLETRANSLATE(J113,""ar"",""en"")"),"#VALUE!")</f>
        <v>#VALUE!</v>
      </c>
      <c r="N113" s="6" t="s">
        <v>534</v>
      </c>
      <c r="O113" s="8" t="s">
        <v>535</v>
      </c>
    </row>
    <row r="114" spans="1:15" ht="20.100000000000001" customHeight="1" thickTop="1" thickBot="1">
      <c r="A114" s="1"/>
      <c r="B114" s="22">
        <v>113</v>
      </c>
      <c r="C114" s="22" t="s">
        <v>536</v>
      </c>
      <c r="D114" s="22" t="s">
        <v>13</v>
      </c>
      <c r="E114" s="22" t="s">
        <v>537</v>
      </c>
      <c r="F114" s="22" t="str">
        <f ca="1">IFERROR(__xludf.DUMMYFUNCTION("GOOGLETRANSLATE(E114,""ar"",""en"")"),"Eastern Lights Supplies")</f>
        <v>Eastern Lights Supplies</v>
      </c>
      <c r="G114" s="22" t="s">
        <v>3581</v>
      </c>
      <c r="H114" s="24" t="s">
        <v>3587</v>
      </c>
      <c r="I114" s="22" t="s">
        <v>469</v>
      </c>
      <c r="J114" s="5" t="str">
        <f ca="1">IFERROR(__xludf.DUMMYFUNCTION("GOOGLETRANSLATE(G114,""ar"",""en"")"),"Badr neighborhood")</f>
        <v>Badr neighborhood</v>
      </c>
      <c r="K114" s="5"/>
      <c r="L114" s="5" t="s">
        <v>538</v>
      </c>
      <c r="M114" s="5" t="str">
        <f ca="1">IFERROR(__xludf.DUMMYFUNCTION("GOOGLETRANSLATE(J114,""ar"",""en"")"),"The download manager is preventing people from giving their number.")</f>
        <v>The download manager is preventing people from giving their number.</v>
      </c>
      <c r="N114" s="6" t="s">
        <v>539</v>
      </c>
      <c r="O114" s="8" t="s">
        <v>540</v>
      </c>
    </row>
    <row r="115" spans="1:15" ht="20.100000000000001" customHeight="1" thickTop="1" thickBot="1">
      <c r="A115" s="1"/>
      <c r="B115" s="22">
        <v>114</v>
      </c>
      <c r="C115" s="22" t="s">
        <v>541</v>
      </c>
      <c r="D115" s="22" t="s">
        <v>13</v>
      </c>
      <c r="E115" s="22" t="s">
        <v>542</v>
      </c>
      <c r="F115" s="22" t="str">
        <f ca="1">IFERROR(__xludf.DUMMYFUNCTION("GOOGLETRANSLATE(E115,""ar"",""en"")"),"Al Menhali Catering, Afrah Salem Al Menhali")</f>
        <v>Al Menhali Catering, Afrah Salem Al Menhali</v>
      </c>
      <c r="G115" s="22" t="s">
        <v>3581</v>
      </c>
      <c r="H115" s="24" t="s">
        <v>3587</v>
      </c>
      <c r="I115" s="22" t="s">
        <v>469</v>
      </c>
      <c r="J115" s="5" t="str">
        <f ca="1">IFERROR(__xludf.DUMMYFUNCTION("GOOGLETRANSLATE(G115,""ar"",""en"")"),"Badr neighborhood")</f>
        <v>Badr neighborhood</v>
      </c>
      <c r="K115" s="5">
        <v>532172650</v>
      </c>
      <c r="L115" s="5"/>
      <c r="M115" s="5" t="str">
        <f ca="1">IFERROR(__xludf.DUMMYFUNCTION("GOOGLETRANSLATE(J115,""ar"",""en"")"),"#VALUE!")</f>
        <v>#VALUE!</v>
      </c>
      <c r="N115" s="6" t="s">
        <v>543</v>
      </c>
      <c r="O115" s="8" t="s">
        <v>544</v>
      </c>
    </row>
    <row r="116" spans="1:15" ht="20.100000000000001" customHeight="1" thickTop="1" thickBot="1">
      <c r="A116" s="1"/>
      <c r="B116" s="22">
        <v>115</v>
      </c>
      <c r="C116" s="22" t="s">
        <v>545</v>
      </c>
      <c r="D116" s="22" t="s">
        <v>13</v>
      </c>
      <c r="E116" s="22" t="s">
        <v>546</v>
      </c>
      <c r="F116" s="22" t="str">
        <f ca="1">IFERROR(__xludf.DUMMYFUNCTION("GOOGLETRANSLATE(E116,""ar"",""en"")"),"High-quality grocery stores")</f>
        <v>High-quality grocery stores</v>
      </c>
      <c r="G116" s="22" t="s">
        <v>3581</v>
      </c>
      <c r="H116" s="24" t="s">
        <v>3587</v>
      </c>
      <c r="I116" s="22" t="s">
        <v>469</v>
      </c>
      <c r="J116" s="5" t="str">
        <f ca="1">IFERROR(__xludf.DUMMYFUNCTION("GOOGLETRANSLATE(G116,""ar"",""en"")"),"Badr neighborhood")</f>
        <v>Badr neighborhood</v>
      </c>
      <c r="K116" s="5">
        <v>504612994</v>
      </c>
      <c r="L116" s="5" t="s">
        <v>547</v>
      </c>
      <c r="M116" s="5" t="str">
        <f ca="1">IFERROR(__xludf.DUMMYFUNCTION("GOOGLETRANSLATE(J116,""ar"",""en"")"),"Abu Khattab")</f>
        <v>Abu Khattab</v>
      </c>
      <c r="N116" s="6" t="s">
        <v>548</v>
      </c>
      <c r="O116" s="8" t="s">
        <v>549</v>
      </c>
    </row>
    <row r="117" spans="1:15" ht="20.100000000000001" customHeight="1" thickTop="1" thickBot="1">
      <c r="A117" s="1"/>
      <c r="B117" s="22">
        <v>116</v>
      </c>
      <c r="C117" s="22" t="s">
        <v>550</v>
      </c>
      <c r="D117" s="22" t="s">
        <v>13</v>
      </c>
      <c r="E117" s="22" t="s">
        <v>551</v>
      </c>
      <c r="F117" s="22" t="str">
        <f ca="1">IFERROR(__xludf.DUMMYFUNCTION("GOOGLETRANSLATE(E117,""ar"",""en"")"),"Grocery Markets Outlets of Goodness")</f>
        <v>Grocery Markets Outlets of Goodness</v>
      </c>
      <c r="G117" s="22" t="s">
        <v>3581</v>
      </c>
      <c r="H117" s="24" t="s">
        <v>3587</v>
      </c>
      <c r="I117" s="22" t="s">
        <v>469</v>
      </c>
      <c r="J117" s="5" t="str">
        <f ca="1">IFERROR(__xludf.DUMMYFUNCTION("GOOGLETRANSLATE(G117,""ar"",""en"")"),"Badr neighborhood")</f>
        <v>Badr neighborhood</v>
      </c>
      <c r="K117" s="5">
        <v>530236639</v>
      </c>
      <c r="L117" s="5" t="s">
        <v>83</v>
      </c>
      <c r="M117" s="5" t="str">
        <f ca="1">IFERROR(__xludf.DUMMYFUNCTION("GOOGLETRANSLATE(J117,""ar"",""en"")"),"on")</f>
        <v>on</v>
      </c>
      <c r="N117" s="6" t="s">
        <v>552</v>
      </c>
      <c r="O117" s="8" t="s">
        <v>553</v>
      </c>
    </row>
    <row r="118" spans="1:15" ht="20.100000000000001" customHeight="1" thickTop="1" thickBot="1">
      <c r="A118" s="1"/>
      <c r="B118" s="22">
        <v>117</v>
      </c>
      <c r="C118" s="22" t="s">
        <v>554</v>
      </c>
      <c r="D118" s="22" t="s">
        <v>13</v>
      </c>
      <c r="E118" s="22" t="s">
        <v>555</v>
      </c>
      <c r="F118" s="22" t="str">
        <f ca="1">IFERROR(__xludf.DUMMYFUNCTION("GOOGLETRANSLATE(E118,""ar"",""en"")"),"Al-Shifa Supplies")</f>
        <v>Al-Shifa Supplies</v>
      </c>
      <c r="G118" s="22" t="s">
        <v>3581</v>
      </c>
      <c r="H118" s="24" t="s">
        <v>3587</v>
      </c>
      <c r="I118" s="22" t="s">
        <v>469</v>
      </c>
      <c r="J118" s="5" t="str">
        <f ca="1">IFERROR(__xludf.DUMMYFUNCTION("GOOGLETRANSLATE(G118,""ar"",""en"")"),"Badr neighborhood")</f>
        <v>Badr neighborhood</v>
      </c>
      <c r="K118" s="5">
        <v>551125336</v>
      </c>
      <c r="L118" s="5" t="s">
        <v>556</v>
      </c>
      <c r="M118" s="5" t="str">
        <f ca="1">IFERROR(__xludf.DUMMYFUNCTION("GOOGLETRANSLATE(J118,""ar"",""en"")"),"Saleh Ahmed")</f>
        <v>Saleh Ahmed</v>
      </c>
      <c r="N118" s="6" t="s">
        <v>557</v>
      </c>
      <c r="O118" s="8" t="s">
        <v>558</v>
      </c>
    </row>
    <row r="119" spans="1:15" ht="20.100000000000001" customHeight="1" thickTop="1" thickBot="1">
      <c r="A119" s="1"/>
      <c r="B119" s="22">
        <v>118</v>
      </c>
      <c r="C119" s="22" t="s">
        <v>559</v>
      </c>
      <c r="D119" s="22" t="s">
        <v>13</v>
      </c>
      <c r="E119" s="22" t="s">
        <v>560</v>
      </c>
      <c r="F119" s="22" t="str">
        <f ca="1">IFERROR(__xludf.DUMMYFUNCTION("GOOGLETRANSLATE(E119,""ar"",""en"")"),"Farha Al-Jouri Supplies")</f>
        <v>Farha Al-Jouri Supplies</v>
      </c>
      <c r="G119" s="22" t="s">
        <v>3581</v>
      </c>
      <c r="H119" s="24" t="s">
        <v>3587</v>
      </c>
      <c r="I119" s="22" t="s">
        <v>469</v>
      </c>
      <c r="J119" s="5" t="str">
        <f ca="1">IFERROR(__xludf.DUMMYFUNCTION("GOOGLETRANSLATE(G119,""ar"",""en"")"),"Badr neighborhood")</f>
        <v>Badr neighborhood</v>
      </c>
      <c r="K119" s="5">
        <v>534939155</v>
      </c>
      <c r="L119" s="5" t="s">
        <v>561</v>
      </c>
      <c r="M119" s="5" t="str">
        <f ca="1">IFERROR(__xludf.DUMMYFUNCTION("GOOGLETRANSLATE(J119,""ar"",""en"")"),"Abu Jarallah")</f>
        <v>Abu Jarallah</v>
      </c>
      <c r="N119" s="6" t="s">
        <v>562</v>
      </c>
      <c r="O119" s="8" t="s">
        <v>563</v>
      </c>
    </row>
    <row r="120" spans="1:15" ht="20.100000000000001" customHeight="1" thickTop="1" thickBot="1">
      <c r="A120" s="1"/>
      <c r="B120" s="22">
        <v>119</v>
      </c>
      <c r="C120" s="22" t="s">
        <v>564</v>
      </c>
      <c r="D120" s="22" t="s">
        <v>13</v>
      </c>
      <c r="E120" s="22" t="s">
        <v>565</v>
      </c>
      <c r="F120" s="22" t="str">
        <f ca="1">IFERROR(__xludf.DUMMYFUNCTION("GOOGLETRANSLATE(E120,""ar"",""en"")"),"Smart Modern Supplies")</f>
        <v>Smart Modern Supplies</v>
      </c>
      <c r="G120" s="22" t="s">
        <v>3581</v>
      </c>
      <c r="H120" s="24" t="s">
        <v>3588</v>
      </c>
      <c r="I120" s="22" t="s">
        <v>3586</v>
      </c>
      <c r="J120" s="5" t="str">
        <f ca="1">IFERROR(__xludf.DUMMYFUNCTION("GOOGLETRANSLATE(G120,""ar"",""en"")"),"road")</f>
        <v>road</v>
      </c>
      <c r="K120" s="5"/>
      <c r="L120" s="5"/>
      <c r="M120" s="5" t="str">
        <f ca="1">IFERROR(__xludf.DUMMYFUNCTION("GOOGLETRANSLATE(J120,""ar"",""en"")"),"#VALUE!")</f>
        <v>#VALUE!</v>
      </c>
      <c r="N120" s="6" t="s">
        <v>566</v>
      </c>
      <c r="O120" s="10" t="s">
        <v>567</v>
      </c>
    </row>
    <row r="121" spans="1:15" ht="20.100000000000001" customHeight="1" thickTop="1" thickBot="1">
      <c r="A121" s="1"/>
      <c r="B121" s="22">
        <v>120</v>
      </c>
      <c r="C121" s="22" t="s">
        <v>568</v>
      </c>
      <c r="D121" s="22" t="s">
        <v>13</v>
      </c>
      <c r="E121" s="23" t="s">
        <v>569</v>
      </c>
      <c r="F121" s="22" t="str">
        <f ca="1">IFERROR(__xludf.DUMMYFUNCTION("GOOGLETRANSLATE(E121,""ar"",""en"")"),"Al-Dhahabi Al-Sharqi Company")</f>
        <v>Al-Dhahabi Al-Sharqi Company</v>
      </c>
      <c r="G121" s="22" t="s">
        <v>3581</v>
      </c>
      <c r="H121" s="24" t="s">
        <v>3588</v>
      </c>
      <c r="I121" s="22" t="s">
        <v>3586</v>
      </c>
      <c r="J121" s="5" t="str">
        <f ca="1">IFERROR(__xludf.DUMMYFUNCTION("GOOGLETRANSLATE(G121,""ar"",""en"")"),"Abu Hadriyah Road")</f>
        <v>Abu Hadriyah Road</v>
      </c>
      <c r="K121" s="11">
        <v>559108514</v>
      </c>
      <c r="L121" s="11"/>
      <c r="M121" s="5" t="str">
        <f ca="1">IFERROR(__xludf.DUMMYFUNCTION("GOOGLETRANSLATE(J121,""ar"",""en"")"),"#VALUE!")</f>
        <v>#VALUE!</v>
      </c>
      <c r="N121" s="12" t="s">
        <v>570</v>
      </c>
      <c r="O121" s="10" t="s">
        <v>571</v>
      </c>
    </row>
    <row r="122" spans="1:15" ht="20.100000000000001" customHeight="1" thickTop="1" thickBot="1">
      <c r="A122" s="1"/>
      <c r="B122" s="22">
        <v>121</v>
      </c>
      <c r="C122" s="22" t="s">
        <v>572</v>
      </c>
      <c r="D122" s="22" t="s">
        <v>13</v>
      </c>
      <c r="E122" s="22" t="s">
        <v>573</v>
      </c>
      <c r="F122" s="22" t="str">
        <f ca="1">IFERROR(__xludf.DUMMYFUNCTION("GOOGLETRANSLATE(E122,""ar"",""en"")"),"Al Buainain Supermarket")</f>
        <v>Al Buainain Supermarket</v>
      </c>
      <c r="G122" s="22" t="s">
        <v>3581</v>
      </c>
      <c r="H122" s="24" t="s">
        <v>3588</v>
      </c>
      <c r="I122" s="22" t="s">
        <v>3586</v>
      </c>
      <c r="J122" s="5" t="str">
        <f ca="1">IFERROR(__xludf.DUMMYFUNCTION("GOOGLETRANSLATE(G122,""ar"",""en"")"),"road")</f>
        <v>road</v>
      </c>
      <c r="K122" s="5"/>
      <c r="L122" s="5"/>
      <c r="M122" s="5" t="str">
        <f ca="1">IFERROR(__xludf.DUMMYFUNCTION("GOOGLETRANSLATE(J122,""ar"",""en"")"),"#VALUE!")</f>
        <v>#VALUE!</v>
      </c>
      <c r="N122" s="6" t="s">
        <v>574</v>
      </c>
      <c r="O122" s="10" t="s">
        <v>575</v>
      </c>
    </row>
    <row r="123" spans="1:15" ht="20.100000000000001" customHeight="1" thickTop="1" thickBot="1">
      <c r="A123" s="1"/>
      <c r="B123" s="22">
        <v>122</v>
      </c>
      <c r="C123" s="22" t="s">
        <v>576</v>
      </c>
      <c r="D123" s="22" t="s">
        <v>13</v>
      </c>
      <c r="E123" s="23" t="s">
        <v>577</v>
      </c>
      <c r="F123" s="22" t="str">
        <f ca="1">IFERROR(__xludf.DUMMYFUNCTION("GOOGLETRANSLATE(E123,""ar"",""en"")"),"Narges Company")</f>
        <v>Narges Company</v>
      </c>
      <c r="G123" s="22" t="s">
        <v>3700</v>
      </c>
      <c r="H123" s="24" t="s">
        <v>3588</v>
      </c>
      <c r="I123" s="23" t="s">
        <v>3639</v>
      </c>
      <c r="J123" s="5" t="str">
        <f ca="1">IFERROR(__xludf.DUMMYFUNCTION("GOOGLETRANSLATE(G123,""ar"",""en"")"),"Darin")</f>
        <v>Darin</v>
      </c>
      <c r="K123" s="11">
        <v>554516207</v>
      </c>
      <c r="L123" s="11" t="s">
        <v>578</v>
      </c>
      <c r="M123" s="5" t="str">
        <f ca="1">IFERROR(__xludf.DUMMYFUNCTION("GOOGLETRANSLATE(J123,""ar"",""en"")"),"Abu Walid")</f>
        <v>Abu Walid</v>
      </c>
      <c r="N123" s="12" t="s">
        <v>579</v>
      </c>
      <c r="O123" s="10" t="s">
        <v>580</v>
      </c>
    </row>
    <row r="124" spans="1:15" ht="20.100000000000001" customHeight="1" thickTop="1" thickBot="1">
      <c r="A124" s="1"/>
      <c r="B124" s="22">
        <v>123</v>
      </c>
      <c r="C124" s="22" t="s">
        <v>581</v>
      </c>
      <c r="D124" s="22" t="s">
        <v>13</v>
      </c>
      <c r="E124" s="22" t="s">
        <v>582</v>
      </c>
      <c r="F124" s="22" t="str">
        <f ca="1">IFERROR(__xludf.DUMMYFUNCTION("GOOGLETRANSLATE(E124,""ar"",""en"")"),"Darin's Golden Basket")</f>
        <v>Darin's Golden Basket</v>
      </c>
      <c r="G124" s="22" t="s">
        <v>3700</v>
      </c>
      <c r="H124" s="24" t="s">
        <v>3588</v>
      </c>
      <c r="I124" s="22" t="s">
        <v>3640</v>
      </c>
      <c r="J124" s="5" t="str">
        <f ca="1">IFERROR(__xludf.DUMMYFUNCTION("GOOGLETRANSLATE(G124,""ar"",""en"")"),"Fanateer")</f>
        <v>Fanateer</v>
      </c>
      <c r="K124" s="5">
        <v>573172170</v>
      </c>
      <c r="L124" s="5"/>
      <c r="M124" s="5" t="str">
        <f ca="1">IFERROR(__xludf.DUMMYFUNCTION("GOOGLETRANSLATE(J124,""ar"",""en"")"),"#VALUE!")</f>
        <v>#VALUE!</v>
      </c>
      <c r="N124" s="6" t="s">
        <v>583</v>
      </c>
      <c r="O124" s="10" t="s">
        <v>584</v>
      </c>
    </row>
    <row r="125" spans="1:15" ht="20.100000000000001" customHeight="1" thickTop="1" thickBot="1">
      <c r="A125" s="1"/>
      <c r="B125" s="22">
        <v>124</v>
      </c>
      <c r="C125" s="22" t="s">
        <v>585</v>
      </c>
      <c r="D125" s="22" t="s">
        <v>13</v>
      </c>
      <c r="E125" s="23" t="s">
        <v>577</v>
      </c>
      <c r="F125" s="22" t="str">
        <f ca="1">IFERROR(__xludf.DUMMYFUNCTION("GOOGLETRANSLATE(E125,""ar"",""en"")"),"Narges Company")</f>
        <v>Narges Company</v>
      </c>
      <c r="G125" s="22" t="s">
        <v>3700</v>
      </c>
      <c r="H125" s="24" t="s">
        <v>3588</v>
      </c>
      <c r="I125" s="23" t="s">
        <v>3596</v>
      </c>
      <c r="J125" s="5" t="str">
        <f ca="1">IFERROR(__xludf.DUMMYFUNCTION("GOOGLETRANSLATE(G125,""ar"",""en"")"),"Fanateer, Jubail Industrial City")</f>
        <v>Fanateer, Jubail Industrial City</v>
      </c>
      <c r="K125" s="11">
        <v>536135212</v>
      </c>
      <c r="L125" s="11"/>
      <c r="M125" s="5" t="str">
        <f ca="1">IFERROR(__xludf.DUMMYFUNCTION("GOOGLETRANSLATE(J125,""ar"",""en"")"),"#VALUE!")</f>
        <v>#VALUE!</v>
      </c>
      <c r="N125" s="12" t="s">
        <v>586</v>
      </c>
      <c r="O125" s="10" t="s">
        <v>587</v>
      </c>
    </row>
    <row r="126" spans="1:15" ht="20.100000000000001" customHeight="1" thickTop="1" thickBot="1">
      <c r="A126" s="1"/>
      <c r="B126" s="22">
        <v>125</v>
      </c>
      <c r="C126" s="22" t="s">
        <v>588</v>
      </c>
      <c r="D126" s="22" t="s">
        <v>13</v>
      </c>
      <c r="E126" s="22" t="s">
        <v>589</v>
      </c>
      <c r="F126" s="22" t="str">
        <f ca="1">IFERROR(__xludf.DUMMYFUNCTION("GOOGLETRANSLATE(E126,""ar"",""en"")"),"Narges 6 Company")</f>
        <v>Narges 6 Company</v>
      </c>
      <c r="G126" s="22" t="s">
        <v>3700</v>
      </c>
      <c r="H126" s="24" t="s">
        <v>3588</v>
      </c>
      <c r="I126" s="22" t="s">
        <v>3596</v>
      </c>
      <c r="J126" s="5" t="str">
        <f ca="1">IFERROR(__xludf.DUMMYFUNCTION("GOOGLETRANSLATE(G126,""ar"",""en"")"),"Fanateer")</f>
        <v>Fanateer</v>
      </c>
      <c r="K126" s="5">
        <v>567484129</v>
      </c>
      <c r="L126" s="5"/>
      <c r="M126" s="5" t="str">
        <f ca="1">IFERROR(__xludf.DUMMYFUNCTION("GOOGLETRANSLATE(J126,""ar"",""en"")"),"#VALUE!")</f>
        <v>#VALUE!</v>
      </c>
      <c r="N126" s="6" t="s">
        <v>590</v>
      </c>
      <c r="O126" s="10" t="s">
        <v>591</v>
      </c>
    </row>
    <row r="127" spans="1:15" ht="20.100000000000001" customHeight="1" thickTop="1" thickBot="1">
      <c r="A127" s="1"/>
      <c r="B127" s="22">
        <v>126</v>
      </c>
      <c r="C127" s="22" t="s">
        <v>592</v>
      </c>
      <c r="D127" s="22" t="s">
        <v>13</v>
      </c>
      <c r="E127" s="23" t="s">
        <v>593</v>
      </c>
      <c r="F127" s="22" t="str">
        <f ca="1">IFERROR(__xludf.DUMMYFUNCTION("GOOGLETRANSLATE(E127,""ar"",""en"")"),"Al Nada Al Sharqi Company")</f>
        <v>Al Nada Al Sharqi Company</v>
      </c>
      <c r="G127" s="22" t="s">
        <v>3700</v>
      </c>
      <c r="H127" s="24" t="s">
        <v>3588</v>
      </c>
      <c r="I127" s="23" t="s">
        <v>3596</v>
      </c>
      <c r="J127" s="5" t="str">
        <f ca="1">IFERROR(__xludf.DUMMYFUNCTION("GOOGLETRANSLATE(G127,""ar"",""en"")"),"Fanateer")</f>
        <v>Fanateer</v>
      </c>
      <c r="K127" s="11">
        <v>558132127</v>
      </c>
      <c r="L127" s="11" t="s">
        <v>175</v>
      </c>
      <c r="M127" s="5" t="str">
        <f ca="1">IFERROR(__xludf.DUMMYFUNCTION("GOOGLETRANSLATE(J127,""ar"",""en"")"),"Abdullah")</f>
        <v>Abdullah</v>
      </c>
      <c r="N127" s="12" t="s">
        <v>594</v>
      </c>
      <c r="O127" s="10" t="s">
        <v>595</v>
      </c>
    </row>
    <row r="128" spans="1:15" ht="20.100000000000001" customHeight="1" thickTop="1" thickBot="1">
      <c r="A128" s="1"/>
      <c r="B128" s="22">
        <v>127</v>
      </c>
      <c r="C128" s="22" t="s">
        <v>596</v>
      </c>
      <c r="D128" s="22" t="s">
        <v>13</v>
      </c>
      <c r="E128" s="22" t="s">
        <v>597</v>
      </c>
      <c r="F128" s="22" t="str">
        <f ca="1">IFERROR(__xludf.DUMMYFUNCTION("GOOGLETRANSLATE(E128,""ar"",""en"")"),"Zarqa Supermarket")</f>
        <v>Zarqa Supermarket</v>
      </c>
      <c r="G128" s="22" t="s">
        <v>3700</v>
      </c>
      <c r="H128" s="24" t="s">
        <v>3588</v>
      </c>
      <c r="I128" s="22" t="s">
        <v>3596</v>
      </c>
      <c r="J128" s="5" t="str">
        <f ca="1">IFERROR(__xludf.DUMMYFUNCTION("GOOGLETRANSLATE(G128,""ar"",""en"")"),"Fanateer")</f>
        <v>Fanateer</v>
      </c>
      <c r="K128" s="5">
        <v>550432324</v>
      </c>
      <c r="L128" s="5" t="s">
        <v>598</v>
      </c>
      <c r="M128" s="5" t="str">
        <f ca="1">IFERROR(__xludf.DUMMYFUNCTION("GOOGLETRANSLATE(J128,""ar"",""en"")"),"Abu Fahd")</f>
        <v>Abu Fahd</v>
      </c>
      <c r="N128" s="6" t="s">
        <v>599</v>
      </c>
      <c r="O128" s="10" t="s">
        <v>600</v>
      </c>
    </row>
    <row r="129" spans="1:15" ht="20.100000000000001" customHeight="1" thickTop="1" thickBot="1">
      <c r="A129" s="1"/>
      <c r="B129" s="22">
        <v>128</v>
      </c>
      <c r="C129" s="22" t="s">
        <v>601</v>
      </c>
      <c r="D129" s="22" t="s">
        <v>13</v>
      </c>
      <c r="E129" s="23" t="s">
        <v>3666</v>
      </c>
      <c r="F129" s="22" t="str">
        <f ca="1">IFERROR(__xludf.DUMMYFUNCTION("GOOGLETRANSLATE(E129,""ar"",""en"")"),"#VALUE!")</f>
        <v>#VALUE!</v>
      </c>
      <c r="G129" s="22" t="s">
        <v>3700</v>
      </c>
      <c r="H129" s="24" t="s">
        <v>3588</v>
      </c>
      <c r="I129" s="23" t="s">
        <v>3596</v>
      </c>
      <c r="J129" s="5" t="str">
        <f ca="1">IFERROR(__xludf.DUMMYFUNCTION("GOOGLETRANSLATE(G129,""ar"",""en"")"),"#VALUE!")</f>
        <v>#VALUE!</v>
      </c>
      <c r="K129" s="11"/>
      <c r="L129" s="11"/>
      <c r="M129" s="5" t="str">
        <f ca="1">IFERROR(__xludf.DUMMYFUNCTION("GOOGLETRANSLATE(J129,""ar"",""en"")"),"#VALUE!")</f>
        <v>#VALUE!</v>
      </c>
      <c r="N129" s="12" t="s">
        <v>602</v>
      </c>
      <c r="O129" s="10" t="s">
        <v>603</v>
      </c>
    </row>
    <row r="130" spans="1:15" ht="20.100000000000001" customHeight="1" thickTop="1" thickBot="1">
      <c r="A130" s="1"/>
      <c r="B130" s="22">
        <v>129</v>
      </c>
      <c r="C130" s="22" t="s">
        <v>604</v>
      </c>
      <c r="D130" s="22" t="s">
        <v>13</v>
      </c>
      <c r="E130" s="22" t="s">
        <v>605</v>
      </c>
      <c r="F130" s="22" t="str">
        <f ca="1">IFERROR(__xludf.DUMMYFUNCTION("GOOGLETRANSLATE(E130,""ar"",""en"")"),"Al Shahd Al Fareed Markets")</f>
        <v>Al Shahd Al Fareed Markets</v>
      </c>
      <c r="G130" s="22" t="s">
        <v>3700</v>
      </c>
      <c r="H130" s="24" t="s">
        <v>3588</v>
      </c>
      <c r="I130" s="22" t="s">
        <v>3596</v>
      </c>
      <c r="J130" s="5" t="str">
        <f ca="1">IFERROR(__xludf.DUMMYFUNCTION("GOOGLETRANSLATE(G130,""ar"",""en"")"),"Fanateer")</f>
        <v>Fanateer</v>
      </c>
      <c r="K130" s="5">
        <v>508053912</v>
      </c>
      <c r="L130" s="5" t="s">
        <v>606</v>
      </c>
      <c r="M130" s="5" t="str">
        <f ca="1">IFERROR(__xludf.DUMMYFUNCTION("GOOGLETRANSLATE(J130,""ar"",""en"")"),"calm")</f>
        <v>calm</v>
      </c>
      <c r="N130" s="6" t="s">
        <v>607</v>
      </c>
      <c r="O130" s="10" t="s">
        <v>608</v>
      </c>
    </row>
    <row r="131" spans="1:15" ht="20.100000000000001" customHeight="1" thickTop="1" thickBot="1">
      <c r="A131" s="1"/>
      <c r="B131" s="22">
        <v>130</v>
      </c>
      <c r="C131" s="22" t="s">
        <v>609</v>
      </c>
      <c r="D131" s="22" t="s">
        <v>13</v>
      </c>
      <c r="E131" s="23" t="s">
        <v>610</v>
      </c>
      <c r="F131" s="22" t="str">
        <f ca="1">IFERROR(__xludf.DUMMYFUNCTION("GOOGLETRANSLATE(E131,""ar"",""en"")"),"Jalmudah Basket Markets")</f>
        <v>Jalmudah Basket Markets</v>
      </c>
      <c r="G131" s="22" t="s">
        <v>3700</v>
      </c>
      <c r="H131" s="24" t="s">
        <v>3588</v>
      </c>
      <c r="I131" s="23" t="s">
        <v>3597</v>
      </c>
      <c r="J131" s="5" t="str">
        <f ca="1">IFERROR(__xludf.DUMMYFUNCTION("GOOGLETRANSLATE(G131,""ar"",""en"")"),"Jalmuda")</f>
        <v>Jalmuda</v>
      </c>
      <c r="K131" s="11">
        <v>537477491</v>
      </c>
      <c r="L131" s="11" t="s">
        <v>175</v>
      </c>
      <c r="M131" s="5" t="str">
        <f ca="1">IFERROR(__xludf.DUMMYFUNCTION("GOOGLETRANSLATE(J131,""ar"",""en"")"),"Abdullah")</f>
        <v>Abdullah</v>
      </c>
      <c r="N131" s="12" t="s">
        <v>611</v>
      </c>
      <c r="O131" s="10" t="s">
        <v>612</v>
      </c>
    </row>
    <row r="132" spans="1:15" ht="20.100000000000001" customHeight="1" thickTop="1" thickBot="1">
      <c r="A132" s="1"/>
      <c r="B132" s="22">
        <v>131</v>
      </c>
      <c r="C132" s="22" t="s">
        <v>613</v>
      </c>
      <c r="D132" s="22" t="s">
        <v>13</v>
      </c>
      <c r="E132" s="22" t="s">
        <v>569</v>
      </c>
      <c r="F132" s="22" t="str">
        <f ca="1">IFERROR(__xludf.DUMMYFUNCTION("GOOGLETRANSLATE(E132,""ar"",""en"")"),"Al-Dhahabi Al-Sharqi Company")</f>
        <v>Al-Dhahabi Al-Sharqi Company</v>
      </c>
      <c r="G132" s="22" t="s">
        <v>3700</v>
      </c>
      <c r="H132" s="24" t="s">
        <v>3588</v>
      </c>
      <c r="I132" s="22" t="s">
        <v>3597</v>
      </c>
      <c r="J132" s="5" t="str">
        <f ca="1">IFERROR(__xludf.DUMMYFUNCTION("GOOGLETRANSLATE(G132,""ar"",""en"")"),"Jubail Industrial City")</f>
        <v>Jubail Industrial City</v>
      </c>
      <c r="K132" s="5">
        <v>556793500</v>
      </c>
      <c r="L132" s="5"/>
      <c r="M132" s="5" t="str">
        <f ca="1">IFERROR(__xludf.DUMMYFUNCTION("GOOGLETRANSLATE(J132,""ar"",""en"")"),"#VALUE!")</f>
        <v>#VALUE!</v>
      </c>
      <c r="N132" s="6" t="s">
        <v>614</v>
      </c>
      <c r="O132" s="10" t="s">
        <v>615</v>
      </c>
    </row>
    <row r="133" spans="1:15" ht="20.100000000000001" customHeight="1" thickTop="1" thickBot="1">
      <c r="A133" s="1"/>
      <c r="B133" s="22">
        <v>132</v>
      </c>
      <c r="C133" s="22" t="s">
        <v>616</v>
      </c>
      <c r="D133" s="22" t="s">
        <v>13</v>
      </c>
      <c r="E133" s="23" t="s">
        <v>617</v>
      </c>
      <c r="F133" s="22" t="str">
        <f ca="1">IFERROR(__xludf.DUMMYFUNCTION("GOOGLETRANSLATE(E133,""ar"",""en"")"),"Multaqa Al Tawfeer Supermarket")</f>
        <v>Multaqa Al Tawfeer Supermarket</v>
      </c>
      <c r="G133" s="22" t="s">
        <v>3700</v>
      </c>
      <c r="H133" s="24" t="s">
        <v>3588</v>
      </c>
      <c r="I133" s="23" t="s">
        <v>3597</v>
      </c>
      <c r="J133" s="5" t="str">
        <f ca="1">IFERROR(__xludf.DUMMYFUNCTION("GOOGLETRANSLATE(G133,""ar"",""en"")"),"Jalmuda")</f>
        <v>Jalmuda</v>
      </c>
      <c r="K133" s="11">
        <v>558017236</v>
      </c>
      <c r="L133" s="11" t="s">
        <v>103</v>
      </c>
      <c r="M133" s="5" t="str">
        <f ca="1">IFERROR(__xludf.DUMMYFUNCTION("GOOGLETRANSLATE(J133,""ar"",""en"")"),"Salem")</f>
        <v>Salem</v>
      </c>
      <c r="N133" s="12" t="s">
        <v>618</v>
      </c>
      <c r="O133" s="10" t="s">
        <v>619</v>
      </c>
    </row>
    <row r="134" spans="1:15" ht="20.100000000000001" customHeight="1" thickTop="1" thickBot="1">
      <c r="A134" s="1"/>
      <c r="B134" s="22">
        <v>133</v>
      </c>
      <c r="C134" s="22" t="s">
        <v>620</v>
      </c>
      <c r="D134" s="22" t="s">
        <v>13</v>
      </c>
      <c r="E134" s="22" t="s">
        <v>621</v>
      </c>
      <c r="F134" s="22" t="str">
        <f ca="1">IFERROR(__xludf.DUMMYFUNCTION("GOOGLETRANSLATE(E134,""ar"",""en"")"),"Al-Aruba Supermarket")</f>
        <v>Al-Aruba Supermarket</v>
      </c>
      <c r="G134" s="22" t="s">
        <v>3700</v>
      </c>
      <c r="H134" s="24" t="s">
        <v>3588</v>
      </c>
      <c r="I134" s="22" t="s">
        <v>3597</v>
      </c>
      <c r="J134" s="5" t="str">
        <f ca="1">IFERROR(__xludf.DUMMYFUNCTION("GOOGLETRANSLATE(G134,""ar"",""en"")"),"Jalmuda")</f>
        <v>Jalmuda</v>
      </c>
      <c r="K134" s="5"/>
      <c r="L134" s="5"/>
      <c r="M134" s="5" t="str">
        <f ca="1">IFERROR(__xludf.DUMMYFUNCTION("GOOGLETRANSLATE(J134,""ar"",""en"")"),"#VALUE!")</f>
        <v>#VALUE!</v>
      </c>
      <c r="N134" s="6" t="s">
        <v>622</v>
      </c>
      <c r="O134" s="10" t="s">
        <v>623</v>
      </c>
    </row>
    <row r="135" spans="1:15" ht="20.100000000000001" customHeight="1" thickTop="1" thickBot="1">
      <c r="A135" s="1"/>
      <c r="B135" s="22">
        <v>134</v>
      </c>
      <c r="C135" s="22" t="s">
        <v>624</v>
      </c>
      <c r="D135" s="22" t="s">
        <v>13</v>
      </c>
      <c r="E135" s="23" t="s">
        <v>625</v>
      </c>
      <c r="F135" s="22" t="str">
        <f ca="1">IFERROR(__xludf.DUMMYFUNCTION("GOOGLETRANSLATE(E135,""ar"",""en"")"),"Diyar Shubra Markets")</f>
        <v>Diyar Shubra Markets</v>
      </c>
      <c r="G135" s="22" t="s">
        <v>3700</v>
      </c>
      <c r="H135" s="24" t="s">
        <v>3588</v>
      </c>
      <c r="I135" s="23" t="s">
        <v>3597</v>
      </c>
      <c r="J135" s="5" t="str">
        <f ca="1">IFERROR(__xludf.DUMMYFUNCTION("GOOGLETRANSLATE(G135,""ar"",""en"")"),"Jalmuda")</f>
        <v>Jalmuda</v>
      </c>
      <c r="K135" s="11">
        <v>566150616</v>
      </c>
      <c r="L135" s="11" t="s">
        <v>626</v>
      </c>
      <c r="M135" s="5" t="str">
        <f ca="1">IFERROR(__xludf.DUMMYFUNCTION("GOOGLETRANSLATE(J135,""ar"",""en"")"),"Osama")</f>
        <v>Osama</v>
      </c>
      <c r="N135" s="12" t="s">
        <v>627</v>
      </c>
      <c r="O135" s="10" t="s">
        <v>628</v>
      </c>
    </row>
    <row r="136" spans="1:15" ht="20.100000000000001" customHeight="1" thickTop="1" thickBot="1">
      <c r="A136" s="1"/>
      <c r="B136" s="22">
        <v>135</v>
      </c>
      <c r="C136" s="22" t="s">
        <v>629</v>
      </c>
      <c r="D136" s="22" t="s">
        <v>13</v>
      </c>
      <c r="E136" s="22" t="s">
        <v>630</v>
      </c>
      <c r="F136" s="22" t="str">
        <f ca="1">IFERROR(__xludf.DUMMYFUNCTION("GOOGLETRANSLATE(E136,""ar"",""en"")"),"Super Savings Meeting Place")</f>
        <v>Super Savings Meeting Place</v>
      </c>
      <c r="G136" s="22" t="s">
        <v>3700</v>
      </c>
      <c r="H136" s="24" t="s">
        <v>3588</v>
      </c>
      <c r="I136" s="22" t="s">
        <v>3597</v>
      </c>
      <c r="J136" s="5" t="str">
        <f ca="1">IFERROR(__xludf.DUMMYFUNCTION("GOOGLETRANSLATE(G136,""ar"",""en"")"),"Jalmuda")</f>
        <v>Jalmuda</v>
      </c>
      <c r="K136" s="5">
        <v>553730803</v>
      </c>
      <c r="L136" s="5" t="s">
        <v>499</v>
      </c>
      <c r="M136" s="5" t="str">
        <f ca="1">IFERROR(__xludf.DUMMYFUNCTION("GOOGLETRANSLATE(J136,""ar"",""en"")"),"Yusef")</f>
        <v>Yusef</v>
      </c>
      <c r="N136" s="6" t="s">
        <v>631</v>
      </c>
      <c r="O136" s="10" t="s">
        <v>632</v>
      </c>
    </row>
    <row r="137" spans="1:15" ht="20.100000000000001" customHeight="1" thickTop="1" thickBot="1">
      <c r="A137" s="1"/>
      <c r="B137" s="22">
        <v>136</v>
      </c>
      <c r="C137" s="22" t="s">
        <v>633</v>
      </c>
      <c r="D137" s="22" t="s">
        <v>13</v>
      </c>
      <c r="E137" s="23" t="s">
        <v>577</v>
      </c>
      <c r="F137" s="22" t="str">
        <f ca="1">IFERROR(__xludf.DUMMYFUNCTION("GOOGLETRANSLATE(E137,""ar"",""en"")"),"Narges Company")</f>
        <v>Narges Company</v>
      </c>
      <c r="G137" s="22" t="s">
        <v>3700</v>
      </c>
      <c r="H137" s="24" t="s">
        <v>3588</v>
      </c>
      <c r="I137" s="23" t="s">
        <v>3597</v>
      </c>
      <c r="J137" s="5" t="str">
        <f ca="1">IFERROR(__xludf.DUMMYFUNCTION("GOOGLETRANSLATE(G137,""ar"",""en"")"),"Jalmuda")</f>
        <v>Jalmuda</v>
      </c>
      <c r="K137" s="11">
        <v>577932842</v>
      </c>
      <c r="L137" s="11" t="s">
        <v>634</v>
      </c>
      <c r="M137" s="5" t="str">
        <f ca="1">IFERROR(__xludf.DUMMYFUNCTION("GOOGLETRANSLATE(J137,""ar"",""en"")"),"immortal")</f>
        <v>immortal</v>
      </c>
      <c r="N137" s="12" t="s">
        <v>635</v>
      </c>
      <c r="O137" s="10" t="s">
        <v>636</v>
      </c>
    </row>
    <row r="138" spans="1:15" ht="20.100000000000001" customHeight="1" thickTop="1" thickBot="1">
      <c r="A138" s="1"/>
      <c r="B138" s="22">
        <v>137</v>
      </c>
      <c r="C138" s="22" t="s">
        <v>637</v>
      </c>
      <c r="D138" s="22" t="s">
        <v>13</v>
      </c>
      <c r="E138" s="22" t="s">
        <v>638</v>
      </c>
      <c r="F138" s="22" t="str">
        <f ca="1">IFERROR(__xludf.DUMMYFUNCTION("GOOGLETRANSLATE(E138,""ar"",""en"")"),"Munir Center")</f>
        <v>Munir Center</v>
      </c>
      <c r="G138" s="22" t="s">
        <v>3700</v>
      </c>
      <c r="H138" s="24" t="s">
        <v>3588</v>
      </c>
      <c r="I138" s="22" t="s">
        <v>3597</v>
      </c>
      <c r="J138" s="5" t="str">
        <f ca="1">IFERROR(__xludf.DUMMYFUNCTION("GOOGLETRANSLATE(G138,""ar"",""en"")"),"Jalmuda")</f>
        <v>Jalmuda</v>
      </c>
      <c r="K138" s="5">
        <v>555607558</v>
      </c>
      <c r="L138" s="5" t="s">
        <v>639</v>
      </c>
      <c r="M138" s="5" t="str">
        <f ca="1">IFERROR(__xludf.DUMMYFUNCTION("GOOGLETRANSLATE(J138,""ar"",""en"")"),"Abu Sari")</f>
        <v>Abu Sari</v>
      </c>
      <c r="N138" s="6" t="s">
        <v>640</v>
      </c>
      <c r="O138" s="10" t="s">
        <v>641</v>
      </c>
    </row>
    <row r="139" spans="1:15" ht="20.100000000000001" customHeight="1" thickTop="1" thickBot="1">
      <c r="A139" s="1"/>
      <c r="B139" s="22">
        <v>138</v>
      </c>
      <c r="C139" s="22" t="s">
        <v>642</v>
      </c>
      <c r="D139" s="22" t="s">
        <v>13</v>
      </c>
      <c r="E139" s="23" t="s">
        <v>643</v>
      </c>
      <c r="F139" s="22" t="str">
        <f ca="1">IFERROR(__xludf.DUMMYFUNCTION("GOOGLETRANSLATE(E139,""ar"",""en"")"),"Eastern baskets")</f>
        <v>Eastern baskets</v>
      </c>
      <c r="G139" s="22" t="s">
        <v>3700</v>
      </c>
      <c r="H139" s="24" t="s">
        <v>3588</v>
      </c>
      <c r="I139" s="23" t="s">
        <v>644</v>
      </c>
      <c r="J139" s="5" t="str">
        <f ca="1">IFERROR(__xludf.DUMMYFUNCTION("GOOGLETRANSLATE(G139,""ar"",""en"")"),"Al-Andalus neighborhood")</f>
        <v>Al-Andalus neighborhood</v>
      </c>
      <c r="K139" s="11">
        <v>552759787</v>
      </c>
      <c r="L139" s="11" t="s">
        <v>361</v>
      </c>
      <c r="M139" s="5" t="str">
        <f ca="1">IFERROR(__xludf.DUMMYFUNCTION("GOOGLETRANSLATE(J139,""ar"",""en"")"),"Ahmed")</f>
        <v>Ahmed</v>
      </c>
      <c r="N139" s="12" t="s">
        <v>645</v>
      </c>
      <c r="O139" s="10" t="s">
        <v>646</v>
      </c>
    </row>
    <row r="140" spans="1:15" ht="20.100000000000001" customHeight="1" thickTop="1" thickBot="1">
      <c r="A140" s="1"/>
      <c r="B140" s="22">
        <v>139</v>
      </c>
      <c r="C140" s="22" t="s">
        <v>647</v>
      </c>
      <c r="D140" s="22" t="s">
        <v>13</v>
      </c>
      <c r="E140" s="22" t="s">
        <v>648</v>
      </c>
      <c r="F140" s="22" t="str">
        <f ca="1">IFERROR(__xludf.DUMMYFUNCTION("GOOGLETRANSLATE(E140,""ar"",""en"")"),"Najoum Al Khairat Company")</f>
        <v>Najoum Al Khairat Company</v>
      </c>
      <c r="G140" s="22" t="s">
        <v>3700</v>
      </c>
      <c r="H140" s="24" t="s">
        <v>3588</v>
      </c>
      <c r="I140" s="22" t="s">
        <v>3598</v>
      </c>
      <c r="J140" s="5" t="str">
        <f ca="1">IFERROR(__xludf.DUMMYFUNCTION("GOOGLETRANSLATE(G140,""ar"",""en"")"),"Al Farouq Jubail Industrial City")</f>
        <v>Al Farouq Jubail Industrial City</v>
      </c>
      <c r="K140" s="5">
        <v>558167170</v>
      </c>
      <c r="L140" s="5"/>
      <c r="M140" s="5" t="str">
        <f ca="1">IFERROR(__xludf.DUMMYFUNCTION("GOOGLETRANSLATE(J140,""ar"",""en"")"),"#VALUE!")</f>
        <v>#VALUE!</v>
      </c>
      <c r="N140" s="6" t="s">
        <v>649</v>
      </c>
      <c r="O140" s="10" t="s">
        <v>650</v>
      </c>
    </row>
    <row r="141" spans="1:15" ht="20.100000000000001" customHeight="1" thickTop="1" thickBot="1">
      <c r="A141" s="1"/>
      <c r="B141" s="22">
        <v>140</v>
      </c>
      <c r="C141" s="22" t="s">
        <v>651</v>
      </c>
      <c r="D141" s="22" t="s">
        <v>13</v>
      </c>
      <c r="E141" s="23" t="s">
        <v>577</v>
      </c>
      <c r="F141" s="22" t="str">
        <f ca="1">IFERROR(__xludf.DUMMYFUNCTION("GOOGLETRANSLATE(E141,""ar"",""en"")"),"Narges Company")</f>
        <v>Narges Company</v>
      </c>
      <c r="G141" s="22" t="s">
        <v>3700</v>
      </c>
      <c r="H141" s="24" t="s">
        <v>3588</v>
      </c>
      <c r="I141" s="23" t="s">
        <v>3596</v>
      </c>
      <c r="J141" s="5" t="str">
        <f ca="1">IFERROR(__xludf.DUMMYFUNCTION("GOOGLETRANSLATE(G141,""ar"",""en"")"),"light")</f>
        <v>light</v>
      </c>
      <c r="K141" s="11">
        <v>555836442</v>
      </c>
      <c r="L141" s="11"/>
      <c r="M141" s="5" t="str">
        <f ca="1">IFERROR(__xludf.DUMMYFUNCTION("GOOGLETRANSLATE(J141,""ar"",""en"")"),"#VALUE!")</f>
        <v>#VALUE!</v>
      </c>
      <c r="N141" s="12" t="s">
        <v>652</v>
      </c>
      <c r="O141" s="10" t="s">
        <v>653</v>
      </c>
    </row>
    <row r="142" spans="1:15" ht="20.100000000000001" customHeight="1" thickTop="1" thickBot="1">
      <c r="A142" s="1"/>
      <c r="B142" s="22">
        <v>141</v>
      </c>
      <c r="C142" s="22" t="s">
        <v>654</v>
      </c>
      <c r="D142" s="22" t="s">
        <v>13</v>
      </c>
      <c r="E142" s="22" t="s">
        <v>655</v>
      </c>
      <c r="F142" s="22" t="str">
        <f ca="1">IFERROR(__xludf.DUMMYFUNCTION("GOOGLETRANSLATE(E142,""ar"",""en"")"),"Salik Road Markets")</f>
        <v>Salik Road Markets</v>
      </c>
      <c r="G142" s="22" t="s">
        <v>3581</v>
      </c>
      <c r="H142" s="24" t="e">
        <v>#VALUE!</v>
      </c>
      <c r="I142" s="22" t="s">
        <v>3586</v>
      </c>
      <c r="J142" s="5" t="str">
        <f ca="1">IFERROR(__xludf.DUMMYFUNCTION("GOOGLETRANSLATE(G142,""ar"",""en"")"),"road")</f>
        <v>road</v>
      </c>
      <c r="K142" s="5">
        <v>532172637</v>
      </c>
      <c r="L142" s="5" t="s">
        <v>656</v>
      </c>
      <c r="M142" s="5" t="str">
        <f ca="1">IFERROR(__xludf.DUMMYFUNCTION("GOOGLETRANSLATE(J142,""ar"",""en"")"),"Osama Ahmed Naji")</f>
        <v>Osama Ahmed Naji</v>
      </c>
      <c r="N142" s="6" t="s">
        <v>657</v>
      </c>
      <c r="O142" s="10" t="s">
        <v>658</v>
      </c>
    </row>
    <row r="143" spans="1:15" ht="20.100000000000001" customHeight="1" thickTop="1" thickBot="1">
      <c r="A143" s="1"/>
      <c r="B143" s="22">
        <v>142</v>
      </c>
      <c r="C143" s="22" t="s">
        <v>659</v>
      </c>
      <c r="D143" s="22" t="s">
        <v>13</v>
      </c>
      <c r="E143" s="23" t="s">
        <v>648</v>
      </c>
      <c r="F143" s="22" t="str">
        <f ca="1">IFERROR(__xludf.DUMMYFUNCTION("GOOGLETRANSLATE(E143,""ar"",""en"")"),"Najoum Al Khairat Company")</f>
        <v>Najoum Al Khairat Company</v>
      </c>
      <c r="G143" s="22" t="s">
        <v>3581</v>
      </c>
      <c r="H143" s="24" t="e">
        <v>#VALUE!</v>
      </c>
      <c r="I143" s="22" t="s">
        <v>3586</v>
      </c>
      <c r="J143" s="5" t="str">
        <f ca="1">IFERROR(__xludf.DUMMYFUNCTION("GOOGLETRANSLATE(G143,""ar"",""en"")"),"Abu Hadriyah Road")</f>
        <v>Abu Hadriyah Road</v>
      </c>
      <c r="K143" s="11">
        <v>549072417</v>
      </c>
      <c r="L143" s="11"/>
      <c r="M143" s="5" t="str">
        <f ca="1">IFERROR(__xludf.DUMMYFUNCTION("GOOGLETRANSLATE(J143,""ar"",""en"")"),"#VALUE!")</f>
        <v>#VALUE!</v>
      </c>
      <c r="N143" s="12" t="s">
        <v>660</v>
      </c>
      <c r="O143" s="10" t="s">
        <v>661</v>
      </c>
    </row>
    <row r="144" spans="1:15" ht="20.100000000000001" customHeight="1" thickTop="1" thickBot="1">
      <c r="A144" s="1"/>
      <c r="B144" s="22">
        <v>143</v>
      </c>
      <c r="C144" s="22" t="s">
        <v>662</v>
      </c>
      <c r="D144" s="22" t="s">
        <v>13</v>
      </c>
      <c r="E144" s="22" t="s">
        <v>663</v>
      </c>
      <c r="F144" s="22" t="str">
        <f ca="1">IFERROR(__xludf.DUMMYFUNCTION("GOOGLETRANSLATE(E144,""ar"",""en"")"),"Precision Promoters Company")</f>
        <v>Precision Promoters Company</v>
      </c>
      <c r="G144" s="22" t="s">
        <v>3581</v>
      </c>
      <c r="H144" s="24" t="e">
        <v>#VALUE!</v>
      </c>
      <c r="I144" s="22" t="s">
        <v>3586</v>
      </c>
      <c r="J144" s="5" t="str">
        <f ca="1">IFERROR(__xludf.DUMMYFUNCTION("GOOGLETRANSLATE(G144,""ar"",""en"")"),"Abu Hadriyah Road")</f>
        <v>Abu Hadriyah Road</v>
      </c>
      <c r="K144" s="5">
        <v>576093421</v>
      </c>
      <c r="L144" s="5"/>
      <c r="M144" s="5" t="str">
        <f ca="1">IFERROR(__xludf.DUMMYFUNCTION("GOOGLETRANSLATE(J144,""ar"",""en"")"),"#VALUE!")</f>
        <v>#VALUE!</v>
      </c>
      <c r="N144" s="6" t="s">
        <v>664</v>
      </c>
      <c r="O144" s="10" t="s">
        <v>665</v>
      </c>
    </row>
    <row r="145" spans="1:15" ht="20.100000000000001" customHeight="1" thickTop="1" thickBot="1">
      <c r="A145" s="1"/>
      <c r="B145" s="22">
        <v>144</v>
      </c>
      <c r="C145" s="22" t="s">
        <v>666</v>
      </c>
      <c r="D145" s="22" t="s">
        <v>13</v>
      </c>
      <c r="E145" s="23" t="s">
        <v>667</v>
      </c>
      <c r="F145" s="22" t="str">
        <f ca="1">IFERROR(__xludf.DUMMYFUNCTION("GOOGLETRANSLATE(E145,""ar"",""en"")"),"Rima Market")</f>
        <v>Rima Market</v>
      </c>
      <c r="G145" s="22" t="s">
        <v>3581</v>
      </c>
      <c r="H145" s="24" t="e">
        <v>#VALUE!</v>
      </c>
      <c r="I145" s="22" t="s">
        <v>3586</v>
      </c>
      <c r="J145" s="5" t="str">
        <f ca="1">IFERROR(__xludf.DUMMYFUNCTION("GOOGLETRANSLATE(G145,""ar"",""en"")"),"Abu Hadriyah Road")</f>
        <v>Abu Hadriyah Road</v>
      </c>
      <c r="K145" s="11">
        <v>508020217</v>
      </c>
      <c r="L145" s="11"/>
      <c r="M145" s="5" t="str">
        <f ca="1">IFERROR(__xludf.DUMMYFUNCTION("GOOGLETRANSLATE(J145,""ar"",""en"")"),"#VALUE!")</f>
        <v>#VALUE!</v>
      </c>
      <c r="N145" s="12" t="s">
        <v>668</v>
      </c>
      <c r="O145" s="10" t="s">
        <v>669</v>
      </c>
    </row>
    <row r="146" spans="1:15" ht="20.100000000000001" customHeight="1" thickTop="1" thickBot="1">
      <c r="A146" s="1"/>
      <c r="B146" s="22">
        <v>145</v>
      </c>
      <c r="C146" s="22" t="s">
        <v>670</v>
      </c>
      <c r="D146" s="22" t="s">
        <v>13</v>
      </c>
      <c r="E146" s="22" t="s">
        <v>671</v>
      </c>
      <c r="F146" s="22" t="str">
        <f ca="1">IFERROR(__xludf.DUMMYFUNCTION("GOOGLETRANSLATE(E146,""ar"",""en"")"),"Kayan Market")</f>
        <v>Kayan Market</v>
      </c>
      <c r="G146" s="22" t="s">
        <v>3581</v>
      </c>
      <c r="H146" s="24" t="e">
        <v>#VALUE!</v>
      </c>
      <c r="I146" s="22" t="s">
        <v>3586</v>
      </c>
      <c r="J146" s="5" t="str">
        <f ca="1">IFERROR(__xludf.DUMMYFUNCTION("GOOGLETRANSLATE(G146,""ar"",""en"")"),"Abu Hadriyah Road")</f>
        <v>Abu Hadriyah Road</v>
      </c>
      <c r="K146" s="5">
        <v>508904536</v>
      </c>
      <c r="L146" s="5"/>
      <c r="M146" s="5" t="str">
        <f ca="1">IFERROR(__xludf.DUMMYFUNCTION("GOOGLETRANSLATE(J146,""ar"",""en"")"),"#VALUE!")</f>
        <v>#VALUE!</v>
      </c>
      <c r="N146" s="6" t="s">
        <v>672</v>
      </c>
      <c r="O146" s="10" t="s">
        <v>673</v>
      </c>
    </row>
    <row r="147" spans="1:15" ht="20.100000000000001" customHeight="1" thickTop="1" thickBot="1">
      <c r="A147" s="1"/>
      <c r="B147" s="22">
        <v>146</v>
      </c>
      <c r="C147" s="22" t="s">
        <v>674</v>
      </c>
      <c r="D147" s="22" t="s">
        <v>13</v>
      </c>
      <c r="E147" s="23" t="s">
        <v>3614</v>
      </c>
      <c r="F147" s="22" t="str">
        <f ca="1">IFERROR(__xludf.DUMMYFUNCTION("GOOGLETRANSLATE(E147,""ar"",""en"")"),"#VALUE!")</f>
        <v>#VALUE!</v>
      </c>
      <c r="G147" s="22" t="s">
        <v>3581</v>
      </c>
      <c r="H147" s="24" t="e">
        <v>#VALUE!</v>
      </c>
      <c r="I147" s="23" t="s">
        <v>3616</v>
      </c>
      <c r="J147" s="5" t="str">
        <f ca="1">IFERROR(__xludf.DUMMYFUNCTION("GOOGLETRANSLATE(G147,""ar"",""en"")"),"#VALUE!")</f>
        <v>#VALUE!</v>
      </c>
      <c r="K147" s="11"/>
      <c r="L147" s="11"/>
      <c r="M147" s="5" t="str">
        <f ca="1">IFERROR(__xludf.DUMMYFUNCTION("GOOGLETRANSLATE(J147,""ar"",""en"")"),"#VALUE!")</f>
        <v>#VALUE!</v>
      </c>
      <c r="N147" s="12" t="s">
        <v>675</v>
      </c>
      <c r="O147" s="10" t="s">
        <v>676</v>
      </c>
    </row>
    <row r="148" spans="1:15" ht="20.100000000000001" customHeight="1" thickTop="1" thickBot="1">
      <c r="A148" s="1"/>
      <c r="B148" s="22">
        <v>147</v>
      </c>
      <c r="C148" s="22" t="s">
        <v>677</v>
      </c>
      <c r="D148" s="22" t="s">
        <v>13</v>
      </c>
      <c r="E148" s="22" t="s">
        <v>678</v>
      </c>
      <c r="F148" s="22" t="str">
        <f ca="1">IFERROR(__xludf.DUMMYFUNCTION("GOOGLETRANSLATE(E148,""ar"",""en"")"),"Golden Crown Supplies")</f>
        <v>Golden Crown Supplies</v>
      </c>
      <c r="G148" s="22" t="s">
        <v>3581</v>
      </c>
      <c r="H148" s="24" t="s">
        <v>3587</v>
      </c>
      <c r="I148" s="23" t="s">
        <v>3616</v>
      </c>
      <c r="J148" s="5" t="str">
        <f ca="1">IFERROR(__xludf.DUMMYFUNCTION("GOOGLETRANSLATE(G148,""ar"",""en"")"),"The Nabia")</f>
        <v>The Nabia</v>
      </c>
      <c r="K148" s="5">
        <v>533387970</v>
      </c>
      <c r="L148" s="5" t="s">
        <v>679</v>
      </c>
      <c r="M148" s="5" t="str">
        <f ca="1">IFERROR(__xludf.DUMMYFUNCTION("GOOGLETRANSLATE(J148,""ar"",""en"")"),"honest")</f>
        <v>honest</v>
      </c>
      <c r="N148" s="6" t="s">
        <v>680</v>
      </c>
      <c r="O148" s="10" t="s">
        <v>681</v>
      </c>
    </row>
    <row r="149" spans="1:15" ht="20.100000000000001" customHeight="1" thickTop="1" thickBot="1">
      <c r="A149" s="1"/>
      <c r="B149" s="22">
        <v>148</v>
      </c>
      <c r="C149" s="22" t="s">
        <v>682</v>
      </c>
      <c r="D149" s="22" t="s">
        <v>13</v>
      </c>
      <c r="E149" s="23" t="s">
        <v>3615</v>
      </c>
      <c r="F149" s="22" t="str">
        <f ca="1">IFERROR(__xludf.DUMMYFUNCTION("GOOGLETRANSLATE(E149,""ar"",""en"")"),"#VALUE!")</f>
        <v>#VALUE!</v>
      </c>
      <c r="G149" s="22" t="s">
        <v>3700</v>
      </c>
      <c r="H149" s="24" t="s">
        <v>3588</v>
      </c>
      <c r="I149" s="23" t="s">
        <v>3600</v>
      </c>
      <c r="J149" s="5" t="str">
        <f ca="1">IFERROR(__xludf.DUMMYFUNCTION("GOOGLETRANSLATE(G149,""ar"",""en"")"),"#VALUE!")</f>
        <v>#VALUE!</v>
      </c>
      <c r="K149" s="11"/>
      <c r="L149" s="11"/>
      <c r="M149" s="5" t="str">
        <f ca="1">IFERROR(__xludf.DUMMYFUNCTION("GOOGLETRANSLATE(J149,""ar"",""en"")"),"#VALUE!")</f>
        <v>#VALUE!</v>
      </c>
      <c r="N149" s="12" t="s">
        <v>683</v>
      </c>
      <c r="O149" s="10" t="s">
        <v>684</v>
      </c>
    </row>
    <row r="150" spans="1:15" ht="20.100000000000001" customHeight="1" thickTop="1" thickBot="1">
      <c r="A150" s="1"/>
      <c r="B150" s="22">
        <v>149</v>
      </c>
      <c r="C150" s="22" t="s">
        <v>685</v>
      </c>
      <c r="D150" s="22" t="s">
        <v>13</v>
      </c>
      <c r="E150" s="22" t="s">
        <v>3599</v>
      </c>
      <c r="F150" s="22" t="str">
        <f ca="1">IFERROR(__xludf.DUMMYFUNCTION("GOOGLETRANSLATE(E150,""ar"",""en"")"),"#VALUE!")</f>
        <v>#VALUE!</v>
      </c>
      <c r="G150" s="22" t="s">
        <v>3700</v>
      </c>
      <c r="H150" s="24" t="s">
        <v>3588</v>
      </c>
      <c r="I150" s="22" t="s">
        <v>3600</v>
      </c>
      <c r="J150" s="5" t="str">
        <f ca="1">IFERROR(__xludf.DUMMYFUNCTION("GOOGLETRANSLATE(G150,""ar"",""en"")"),"Pearl Road")</f>
        <v>Pearl Road</v>
      </c>
      <c r="K150" s="5">
        <v>531385964</v>
      </c>
      <c r="L150" s="5"/>
      <c r="M150" s="5" t="str">
        <f ca="1">IFERROR(__xludf.DUMMYFUNCTION("GOOGLETRANSLATE(J150,""ar"",""en"")"),"#VALUE!")</f>
        <v>#VALUE!</v>
      </c>
      <c r="N150" s="6" t="s">
        <v>686</v>
      </c>
      <c r="O150" s="10" t="s">
        <v>687</v>
      </c>
    </row>
    <row r="151" spans="1:15" ht="20.100000000000001" customHeight="1" thickTop="1" thickBot="1">
      <c r="A151" s="1"/>
      <c r="B151" s="22">
        <v>150</v>
      </c>
      <c r="C151" s="22" t="s">
        <v>688</v>
      </c>
      <c r="D151" s="22" t="s">
        <v>13</v>
      </c>
      <c r="E151" s="23" t="s">
        <v>689</v>
      </c>
      <c r="F151" s="22" t="str">
        <f ca="1">IFERROR(__xludf.DUMMYFUNCTION("GOOGLETRANSLATE(E151,""ar"",""en"")"),"Shahla Al Arab Supplies")</f>
        <v>Shahla Al Arab Supplies</v>
      </c>
      <c r="G151" s="22" t="s">
        <v>3700</v>
      </c>
      <c r="H151" s="24" t="s">
        <v>3588</v>
      </c>
      <c r="I151" s="23" t="s">
        <v>3601</v>
      </c>
      <c r="J151" s="5" t="str">
        <f ca="1">IFERROR(__xludf.DUMMYFUNCTION("GOOGLETRANSLATE(G151,""ar"",""en"")"),"Al-Matrifah")</f>
        <v>Al-Matrifah</v>
      </c>
      <c r="K151" s="11"/>
      <c r="L151" s="11"/>
      <c r="M151" s="5" t="str">
        <f ca="1">IFERROR(__xludf.DUMMYFUNCTION("GOOGLETRANSLATE(J151,""ar"",""en"")"),"#VALUE!")</f>
        <v>#VALUE!</v>
      </c>
      <c r="N151" s="12" t="s">
        <v>690</v>
      </c>
      <c r="O151" s="10" t="s">
        <v>691</v>
      </c>
    </row>
    <row r="152" spans="1:15" ht="20.100000000000001" customHeight="1" thickTop="1" thickBot="1">
      <c r="A152" s="1"/>
      <c r="B152" s="22">
        <v>151</v>
      </c>
      <c r="C152" s="22" t="s">
        <v>692</v>
      </c>
      <c r="D152" s="22" t="s">
        <v>13</v>
      </c>
      <c r="E152" s="22" t="s">
        <v>693</v>
      </c>
      <c r="F152" s="22" t="str">
        <f ca="1">IFERROR(__xludf.DUMMYFUNCTION("GOOGLETRANSLATE(E152,""ar"",""en"")"),"Atwar and Hala Supplies")</f>
        <v>Atwar and Hala Supplies</v>
      </c>
      <c r="G152" s="22" t="s">
        <v>3700</v>
      </c>
      <c r="H152" s="24" t="s">
        <v>3588</v>
      </c>
      <c r="I152" s="22" t="s">
        <v>3601</v>
      </c>
      <c r="J152" s="5" t="str">
        <f ca="1">IFERROR(__xludf.DUMMYFUNCTION("GOOGLETRANSLATE(G152,""ar"",""en"")"),"Al-Matrifah")</f>
        <v>Al-Matrifah</v>
      </c>
      <c r="K152" s="5">
        <v>533748301</v>
      </c>
      <c r="L152" s="5"/>
      <c r="M152" s="5" t="str">
        <f ca="1">IFERROR(__xludf.DUMMYFUNCTION("GOOGLETRANSLATE(J152,""ar"",""en"")"),"#VALUE!")</f>
        <v>#VALUE!</v>
      </c>
      <c r="N152" s="6" t="s">
        <v>694</v>
      </c>
      <c r="O152" s="10" t="s">
        <v>695</v>
      </c>
    </row>
    <row r="153" spans="1:15" ht="20.100000000000001" customHeight="1" thickTop="1" thickBot="1">
      <c r="A153" s="1"/>
      <c r="B153" s="22">
        <v>152</v>
      </c>
      <c r="C153" s="22" t="s">
        <v>696</v>
      </c>
      <c r="D153" s="22" t="s">
        <v>13</v>
      </c>
      <c r="E153" s="23" t="s">
        <v>697</v>
      </c>
      <c r="F153" s="22" t="str">
        <f ca="1">IFERROR(__xludf.DUMMYFUNCTION("GOOGLETRANSLATE(E153,""ar"",""en"")"),"Al-Rakiba Supermarket")</f>
        <v>Al-Rakiba Supermarket</v>
      </c>
      <c r="G153" s="22" t="s">
        <v>3700</v>
      </c>
      <c r="H153" s="24" t="s">
        <v>3588</v>
      </c>
      <c r="I153" s="23" t="s">
        <v>3601</v>
      </c>
      <c r="J153" s="5" t="str">
        <f ca="1">IFERROR(__xludf.DUMMYFUNCTION("GOOGLETRANSLATE(G153,""ar"",""en"")"),"Al-Matrifah")</f>
        <v>Al-Matrifah</v>
      </c>
      <c r="K153" s="11">
        <v>593707943</v>
      </c>
      <c r="L153" s="11" t="s">
        <v>698</v>
      </c>
      <c r="M153" s="5" t="str">
        <f ca="1">IFERROR(__xludf.DUMMYFUNCTION("GOOGLETRANSLATE(J153,""ar"",""en"")"),"Abu Khalid")</f>
        <v>Abu Khalid</v>
      </c>
      <c r="N153" s="12" t="s">
        <v>699</v>
      </c>
      <c r="O153" s="10" t="s">
        <v>700</v>
      </c>
    </row>
    <row r="154" spans="1:15" ht="20.100000000000001" customHeight="1" thickTop="1" thickBot="1">
      <c r="A154" s="1"/>
      <c r="B154" s="22">
        <v>153</v>
      </c>
      <c r="C154" s="22" t="s">
        <v>701</v>
      </c>
      <c r="D154" s="22" t="s">
        <v>13</v>
      </c>
      <c r="E154" s="22" t="s">
        <v>702</v>
      </c>
      <c r="F154" s="22" t="str">
        <f ca="1">IFERROR(__xludf.DUMMYFUNCTION("GOOGLETRANSLATE(E154,""ar"",""en"")"),"Main Center: Munir Marketing Center")</f>
        <v>Main Center: Munir Marketing Center</v>
      </c>
      <c r="G154" s="22" t="s">
        <v>3700</v>
      </c>
      <c r="H154" s="24" t="s">
        <v>3588</v>
      </c>
      <c r="I154" s="22" t="s">
        <v>3601</v>
      </c>
      <c r="J154" s="5" t="str">
        <f ca="1">IFERROR(__xludf.DUMMYFUNCTION("GOOGLETRANSLATE(G154,""ar"",""en"")"),"Al-Mutrifah, Jubail Industrial City")</f>
        <v>Al-Mutrifah, Jubail Industrial City</v>
      </c>
      <c r="K154" s="5">
        <v>578120365</v>
      </c>
      <c r="L154" s="5"/>
      <c r="M154" s="5" t="str">
        <f ca="1">IFERROR(__xludf.DUMMYFUNCTION("GOOGLETRANSLATE(J154,""ar"",""en"")"),"#VALUE!")</f>
        <v>#VALUE!</v>
      </c>
      <c r="N154" s="6" t="s">
        <v>703</v>
      </c>
      <c r="O154" s="10" t="s">
        <v>704</v>
      </c>
    </row>
    <row r="155" spans="1:15" ht="20.100000000000001" customHeight="1" thickTop="1" thickBot="1">
      <c r="A155" s="1"/>
      <c r="B155" s="22">
        <v>154</v>
      </c>
      <c r="C155" s="22" t="s">
        <v>705</v>
      </c>
      <c r="D155" s="22" t="s">
        <v>13</v>
      </c>
      <c r="E155" s="23" t="s">
        <v>706</v>
      </c>
      <c r="F155" s="22" t="str">
        <f ca="1">IFERROR(__xludf.DUMMYFUNCTION("GOOGLETRANSLATE(E155,""ar"",""en"")"),"Diyar Shubra Markets")</f>
        <v>Diyar Shubra Markets</v>
      </c>
      <c r="G155" s="22" t="s">
        <v>3700</v>
      </c>
      <c r="H155" s="24" t="s">
        <v>3588</v>
      </c>
      <c r="I155" s="23" t="s">
        <v>3601</v>
      </c>
      <c r="J155" s="5" t="str">
        <f ca="1">IFERROR(__xludf.DUMMYFUNCTION("GOOGLETRANSLATE(G155,""ar"",""en"")"),"Al-Matrifah")</f>
        <v>Al-Matrifah</v>
      </c>
      <c r="K155" s="11"/>
      <c r="L155" s="11" t="s">
        <v>294</v>
      </c>
      <c r="M155" s="5" t="str">
        <f ca="1">IFERROR(__xludf.DUMMYFUNCTION("GOOGLETRANSLATE(J155,""ar"",""en"")"),"Mohammed")</f>
        <v>Mohammed</v>
      </c>
      <c r="N155" s="12" t="s">
        <v>707</v>
      </c>
      <c r="O155" s="10" t="s">
        <v>708</v>
      </c>
    </row>
    <row r="156" spans="1:15" ht="20.100000000000001" customHeight="1" thickTop="1" thickBot="1">
      <c r="A156" s="1"/>
      <c r="B156" s="22">
        <v>155</v>
      </c>
      <c r="C156" s="22" t="s">
        <v>709</v>
      </c>
      <c r="D156" s="22" t="s">
        <v>13</v>
      </c>
      <c r="E156" s="22" t="s">
        <v>710</v>
      </c>
      <c r="F156" s="22" t="str">
        <f ca="1">IFERROR(__xludf.DUMMYFUNCTION("GOOGLETRANSLATE(E156,""ar"",""en"")"),"Dom Basket Markets")</f>
        <v>Dom Basket Markets</v>
      </c>
      <c r="G156" s="22" t="s">
        <v>3700</v>
      </c>
      <c r="H156" s="24" t="s">
        <v>3588</v>
      </c>
      <c r="I156" s="22" t="s">
        <v>3601</v>
      </c>
      <c r="J156" s="5" t="str">
        <f ca="1">IFERROR(__xludf.DUMMYFUNCTION("GOOGLETRANSLATE(G156,""ar"",""en"")"),"Al-Matrifah")</f>
        <v>Al-Matrifah</v>
      </c>
      <c r="K156" s="5">
        <v>550926388</v>
      </c>
      <c r="L156" s="5"/>
      <c r="M156" s="5" t="str">
        <f ca="1">IFERROR(__xludf.DUMMYFUNCTION("GOOGLETRANSLATE(J156,""ar"",""en"")"),"#VALUE!")</f>
        <v>#VALUE!</v>
      </c>
      <c r="N156" s="6" t="s">
        <v>711</v>
      </c>
      <c r="O156" s="10" t="s">
        <v>712</v>
      </c>
    </row>
    <row r="157" spans="1:15" ht="20.100000000000001" customHeight="1" thickTop="1" thickBot="1">
      <c r="A157" s="1"/>
      <c r="B157" s="22">
        <v>156</v>
      </c>
      <c r="C157" s="22" t="s">
        <v>713</v>
      </c>
      <c r="D157" s="22" t="s">
        <v>13</v>
      </c>
      <c r="E157" s="23" t="s">
        <v>714</v>
      </c>
      <c r="F157" s="22" t="str">
        <f ca="1">IFERROR(__xludf.DUMMYFUNCTION("GOOGLETRANSLATE(E157,""ar"",""en"")"),"Savings Forum Foundation")</f>
        <v>Savings Forum Foundation</v>
      </c>
      <c r="G157" s="22" t="s">
        <v>3700</v>
      </c>
      <c r="H157" s="24" t="s">
        <v>3588</v>
      </c>
      <c r="I157" s="23" t="s">
        <v>3601</v>
      </c>
      <c r="J157" s="5" t="str">
        <f ca="1">IFERROR(__xludf.DUMMYFUNCTION("GOOGLETRANSLATE(G157,""ar"",""en"")"),"Al-Matrifah")</f>
        <v>Al-Matrifah</v>
      </c>
      <c r="K157" s="11">
        <v>567724663</v>
      </c>
      <c r="L157" s="11" t="s">
        <v>715</v>
      </c>
      <c r="M157" s="5" t="str">
        <f ca="1">IFERROR(__xludf.DUMMYFUNCTION("GOOGLETRANSLATE(J157,""ar"",""en"")"),"Muammar")</f>
        <v>Muammar</v>
      </c>
      <c r="N157" s="12" t="s">
        <v>716</v>
      </c>
      <c r="O157" s="10" t="s">
        <v>717</v>
      </c>
    </row>
    <row r="158" spans="1:15" ht="20.100000000000001" customHeight="1" thickTop="1" thickBot="1">
      <c r="A158" s="1"/>
      <c r="B158" s="22">
        <v>157</v>
      </c>
      <c r="C158" s="22" t="s">
        <v>718</v>
      </c>
      <c r="D158" s="22" t="s">
        <v>13</v>
      </c>
      <c r="E158" s="22" t="s">
        <v>719</v>
      </c>
      <c r="F158" s="22" t="str">
        <f ca="1">IFERROR(__xludf.DUMMYFUNCTION("GOOGLETRANSLATE(E158,""ar"",""en"")"),"Pine Baskets Foundation")</f>
        <v>Pine Baskets Foundation</v>
      </c>
      <c r="G158" s="22" t="s">
        <v>3700</v>
      </c>
      <c r="H158" s="24" t="s">
        <v>3588</v>
      </c>
      <c r="I158" s="22" t="s">
        <v>3601</v>
      </c>
      <c r="J158" s="5" t="str">
        <f ca="1">IFERROR(__xludf.DUMMYFUNCTION("GOOGLETRANSLATE(G158,""ar"",""en"")"),"Al-Mutarfiyah")</f>
        <v>Al-Mutarfiyah</v>
      </c>
      <c r="K158" s="5">
        <v>537438200</v>
      </c>
      <c r="L158" s="5" t="s">
        <v>720</v>
      </c>
      <c r="M158" s="5" t="str">
        <f ca="1">IFERROR(__xludf.DUMMYFUNCTION("GOOGLETRANSLATE(J158,""ar"",""en"")"),"Hudhayfah")</f>
        <v>Hudhayfah</v>
      </c>
      <c r="N158" s="6" t="s">
        <v>721</v>
      </c>
      <c r="O158" s="10" t="s">
        <v>722</v>
      </c>
    </row>
    <row r="159" spans="1:15" ht="20.100000000000001" customHeight="1" thickTop="1" thickBot="1">
      <c r="A159" s="1"/>
      <c r="B159" s="22">
        <v>158</v>
      </c>
      <c r="C159" s="22" t="s">
        <v>723</v>
      </c>
      <c r="D159" s="22" t="s">
        <v>13</v>
      </c>
      <c r="E159" s="23" t="s">
        <v>714</v>
      </c>
      <c r="F159" s="22" t="str">
        <f ca="1">IFERROR(__xludf.DUMMYFUNCTION("GOOGLETRANSLATE(E159,""ar"",""en"")"),"Savings Forum Foundation")</f>
        <v>Savings Forum Foundation</v>
      </c>
      <c r="G159" s="22" t="s">
        <v>3700</v>
      </c>
      <c r="H159" s="24" t="s">
        <v>3588</v>
      </c>
      <c r="I159" s="23" t="s">
        <v>3601</v>
      </c>
      <c r="J159" s="5" t="str">
        <f ca="1">IFERROR(__xludf.DUMMYFUNCTION("GOOGLETRANSLATE(G159,""ar"",""en"")"),"Al-Mutarfiyah")</f>
        <v>Al-Mutarfiyah</v>
      </c>
      <c r="K159" s="11">
        <v>506362275</v>
      </c>
      <c r="L159" s="11" t="s">
        <v>724</v>
      </c>
      <c r="M159" s="5" t="str">
        <f ca="1">IFERROR(__xludf.DUMMYFUNCTION("GOOGLETRANSLATE(J159,""ar"",""en"")"),"Badr Al-Hadari")</f>
        <v>Badr Al-Hadari</v>
      </c>
      <c r="N159" s="12" t="s">
        <v>725</v>
      </c>
      <c r="O159" s="10" t="s">
        <v>726</v>
      </c>
    </row>
    <row r="160" spans="1:15" ht="20.100000000000001" customHeight="1" thickTop="1" thickBot="1">
      <c r="A160" s="1"/>
      <c r="B160" s="22">
        <v>159</v>
      </c>
      <c r="C160" s="22" t="s">
        <v>727</v>
      </c>
      <c r="D160" s="22" t="s">
        <v>13</v>
      </c>
      <c r="E160" s="22" t="s">
        <v>728</v>
      </c>
      <c r="F160" s="22" t="str">
        <f ca="1">IFERROR(__xludf.DUMMYFUNCTION("GOOGLETRANSLATE(E160,""ar"",""en"")"),"Narges Food Company")</f>
        <v>Narges Food Company</v>
      </c>
      <c r="G160" s="22" t="s">
        <v>3700</v>
      </c>
      <c r="H160" s="24" t="s">
        <v>3588</v>
      </c>
      <c r="I160" s="22" t="s">
        <v>3601</v>
      </c>
      <c r="J160" s="5" t="str">
        <f ca="1">IFERROR(__xludf.DUMMYFUNCTION("GOOGLETRANSLATE(G160,""ar"",""en"")"),"Al-Mutrafiyah, Jubail Industrial City")</f>
        <v>Al-Mutrafiyah, Jubail Industrial City</v>
      </c>
      <c r="K160" s="5">
        <v>502313373</v>
      </c>
      <c r="L160" s="5"/>
      <c r="M160" s="5" t="str">
        <f ca="1">IFERROR(__xludf.DUMMYFUNCTION("GOOGLETRANSLATE(J160,""ar"",""en"")"),"#VALUE!")</f>
        <v>#VALUE!</v>
      </c>
      <c r="N160" s="6" t="s">
        <v>729</v>
      </c>
      <c r="O160" s="10" t="s">
        <v>730</v>
      </c>
    </row>
    <row r="161" spans="1:15" ht="20.100000000000001" customHeight="1" thickTop="1" thickBot="1">
      <c r="A161" s="1"/>
      <c r="B161" s="22">
        <v>160</v>
      </c>
      <c r="C161" s="22" t="s">
        <v>731</v>
      </c>
      <c r="D161" s="22" t="s">
        <v>13</v>
      </c>
      <c r="E161" s="23" t="s">
        <v>732</v>
      </c>
      <c r="F161" s="22" t="str">
        <f ca="1">IFERROR(__xludf.DUMMYFUNCTION("GOOGLETRANSLATE(E161,""ar"",""en"")"),"Munir Center Branch")</f>
        <v>Munir Center Branch</v>
      </c>
      <c r="G161" s="22" t="s">
        <v>3700</v>
      </c>
      <c r="H161" s="24" t="s">
        <v>3588</v>
      </c>
      <c r="I161" s="23" t="s">
        <v>3601</v>
      </c>
      <c r="J161" s="5" t="str">
        <f ca="1">IFERROR(__xludf.DUMMYFUNCTION("GOOGLETRANSLATE(G161,""ar"",""en"")"),"Al-Mutarfiyah")</f>
        <v>Al-Mutarfiyah</v>
      </c>
      <c r="K161" s="11"/>
      <c r="L161" s="11"/>
      <c r="M161" s="5" t="str">
        <f ca="1">IFERROR(__xludf.DUMMYFUNCTION("GOOGLETRANSLATE(J161,""ar"",""en"")"),"#VALUE!")</f>
        <v>#VALUE!</v>
      </c>
      <c r="N161" s="12" t="s">
        <v>733</v>
      </c>
      <c r="O161" s="10" t="s">
        <v>734</v>
      </c>
    </row>
    <row r="162" spans="1:15" ht="20.100000000000001" customHeight="1" thickTop="1" thickBot="1">
      <c r="A162" s="1"/>
      <c r="B162" s="22">
        <v>161</v>
      </c>
      <c r="C162" s="22" t="s">
        <v>735</v>
      </c>
      <c r="D162" s="22" t="s">
        <v>13</v>
      </c>
      <c r="E162" s="22" t="s">
        <v>617</v>
      </c>
      <c r="F162" s="22" t="str">
        <f ca="1">IFERROR(__xludf.DUMMYFUNCTION("GOOGLETRANSLATE(E162,""ar"",""en"")"),"Multaqa Al Tawfeer Supermarket")</f>
        <v>Multaqa Al Tawfeer Supermarket</v>
      </c>
      <c r="G162" s="22" t="s">
        <v>3700</v>
      </c>
      <c r="H162" s="24" t="s">
        <v>3588</v>
      </c>
      <c r="I162" s="22" t="s">
        <v>3601</v>
      </c>
      <c r="J162" s="5" t="str">
        <f ca="1">IFERROR(__xludf.DUMMYFUNCTION("GOOGLETRANSLATE(G162,""ar"",""en"")"),"paradise")</f>
        <v>paradise</v>
      </c>
      <c r="K162" s="5">
        <v>509373370</v>
      </c>
      <c r="L162" s="5" t="s">
        <v>736</v>
      </c>
      <c r="M162" s="5" t="str">
        <f ca="1">IFERROR(__xludf.DUMMYFUNCTION("GOOGLETRANSLATE(J162,""ar"",""en"")"),"Mohammed Saleh")</f>
        <v>Mohammed Saleh</v>
      </c>
      <c r="N162" s="6" t="s">
        <v>737</v>
      </c>
      <c r="O162" s="10" t="s">
        <v>738</v>
      </c>
    </row>
    <row r="163" spans="1:15" ht="20.100000000000001" customHeight="1" thickTop="1" thickBot="1">
      <c r="A163" s="1"/>
      <c r="B163" s="22">
        <v>162</v>
      </c>
      <c r="C163" s="22" t="s">
        <v>739</v>
      </c>
      <c r="D163" s="22" t="s">
        <v>13</v>
      </c>
      <c r="E163" s="23" t="s">
        <v>740</v>
      </c>
      <c r="F163" s="22" t="str">
        <f ca="1">IFERROR(__xludf.DUMMYFUNCTION("GOOGLETRANSLATE(E163,""ar"",""en"")"),"Pioneer Markets World of Food")</f>
        <v>Pioneer Markets World of Food</v>
      </c>
      <c r="G163" s="22" t="s">
        <v>3700</v>
      </c>
      <c r="H163" s="24" t="s">
        <v>3588</v>
      </c>
      <c r="I163" s="23" t="s">
        <v>3600</v>
      </c>
      <c r="J163" s="5" t="str">
        <f ca="1">IFERROR(__xludf.DUMMYFUNCTION("GOOGLETRANSLATE(G163,""ar"",""en"")"),"paradise")</f>
        <v>paradise</v>
      </c>
      <c r="K163" s="11">
        <v>502313373</v>
      </c>
      <c r="L163" s="11" t="s">
        <v>741</v>
      </c>
      <c r="M163" s="5" t="str">
        <f ca="1">IFERROR(__xludf.DUMMYFUNCTION("GOOGLETRANSLATE(J163,""ar"",""en"")"),"Salah")</f>
        <v>Salah</v>
      </c>
      <c r="N163" s="12" t="s">
        <v>742</v>
      </c>
      <c r="O163" s="10" t="s">
        <v>743</v>
      </c>
    </row>
    <row r="164" spans="1:15" ht="20.100000000000001" customHeight="1" thickTop="1" thickBot="1">
      <c r="A164" s="1"/>
      <c r="B164" s="22">
        <v>163</v>
      </c>
      <c r="C164" s="22" t="s">
        <v>744</v>
      </c>
      <c r="D164" s="22" t="s">
        <v>13</v>
      </c>
      <c r="E164" s="22" t="s">
        <v>745</v>
      </c>
      <c r="F164" s="22" t="str">
        <f ca="1">IFERROR(__xludf.DUMMYFUNCTION("GOOGLETRANSLATE(E164,""ar"",""en"")"),"Jubail Economic Hall Markets")</f>
        <v>Jubail Economic Hall Markets</v>
      </c>
      <c r="G164" s="22" t="s">
        <v>3700</v>
      </c>
      <c r="H164" s="24" t="s">
        <v>3588</v>
      </c>
      <c r="I164" s="22" t="s">
        <v>307</v>
      </c>
      <c r="J164" s="5" t="str">
        <f ca="1">IFERROR(__xludf.DUMMYFUNCTION("GOOGLETRANSLATE(G164,""ar"",""en"")"),"Al-Fayha")</f>
        <v>Al-Fayha</v>
      </c>
      <c r="K164" s="5">
        <v>578031715</v>
      </c>
      <c r="L164" s="5" t="s">
        <v>746</v>
      </c>
      <c r="M164" s="5" t="str">
        <f ca="1">IFERROR(__xludf.DUMMYFUNCTION("GOOGLETRANSLATE(J164,""ar"",""en"")"),"Samih")</f>
        <v>Samih</v>
      </c>
      <c r="N164" s="6" t="s">
        <v>747</v>
      </c>
      <c r="O164" s="10" t="s">
        <v>748</v>
      </c>
    </row>
    <row r="165" spans="1:15" ht="20.100000000000001" customHeight="1" thickTop="1" thickBot="1">
      <c r="A165" s="1"/>
      <c r="B165" s="22">
        <v>164</v>
      </c>
      <c r="C165" s="22" t="s">
        <v>749</v>
      </c>
      <c r="D165" s="22" t="s">
        <v>13</v>
      </c>
      <c r="E165" s="23" t="s">
        <v>750</v>
      </c>
      <c r="F165" s="22" t="str">
        <f ca="1">IFERROR(__xludf.DUMMYFUNCTION("GOOGLETRANSLATE(E165,""ar"",""en"")"),"Fahmi, Narjis Markets Company, Jubail")</f>
        <v>Fahmi, Narjis Markets Company, Jubail</v>
      </c>
      <c r="G165" s="22" t="s">
        <v>3700</v>
      </c>
      <c r="H165" s="24" t="s">
        <v>3588</v>
      </c>
      <c r="I165" s="23" t="s">
        <v>307</v>
      </c>
      <c r="J165" s="5" t="str">
        <f ca="1">IFERROR(__xludf.DUMMYFUNCTION("GOOGLETRANSLATE(G165,""ar"",""en"")"),"Al-Fayha")</f>
        <v>Al-Fayha</v>
      </c>
      <c r="K165" s="11">
        <v>503278243</v>
      </c>
      <c r="L165" s="11"/>
      <c r="M165" s="5" t="str">
        <f ca="1">IFERROR(__xludf.DUMMYFUNCTION("GOOGLETRANSLATE(J165,""ar"",""en"")"),"#VALUE!")</f>
        <v>#VALUE!</v>
      </c>
      <c r="N165" s="12" t="s">
        <v>751</v>
      </c>
      <c r="O165" s="10" t="s">
        <v>752</v>
      </c>
    </row>
    <row r="166" spans="1:15" ht="20.100000000000001" customHeight="1" thickTop="1" thickBot="1">
      <c r="A166" s="1"/>
      <c r="B166" s="22">
        <v>165</v>
      </c>
      <c r="C166" s="22" t="s">
        <v>753</v>
      </c>
      <c r="D166" s="22" t="s">
        <v>13</v>
      </c>
      <c r="E166" s="22" t="s">
        <v>754</v>
      </c>
      <c r="F166" s="22" t="str">
        <f ca="1">IFERROR(__xludf.DUMMYFUNCTION("GOOGLETRANSLATE(E166,""ar"",""en"")"),"Dima Market")</f>
        <v>Dima Market</v>
      </c>
      <c r="G166" s="22" t="s">
        <v>3700</v>
      </c>
      <c r="H166" s="24" t="s">
        <v>3588</v>
      </c>
      <c r="I166" s="22" t="s">
        <v>307</v>
      </c>
      <c r="J166" s="5" t="str">
        <f ca="1">IFERROR(__xludf.DUMMYFUNCTION("GOOGLETRANSLATE(G166,""ar"",""en"")"),"Al-Fayha")</f>
        <v>Al-Fayha</v>
      </c>
      <c r="K166" s="5">
        <v>535634766</v>
      </c>
      <c r="L166" s="5"/>
      <c r="M166" s="5" t="str">
        <f ca="1">IFERROR(__xludf.DUMMYFUNCTION("GOOGLETRANSLATE(J166,""ar"",""en"")"),"#VALUE!")</f>
        <v>#VALUE!</v>
      </c>
      <c r="N166" s="6" t="s">
        <v>755</v>
      </c>
      <c r="O166" s="10" t="s">
        <v>756</v>
      </c>
    </row>
    <row r="167" spans="1:15" ht="20.100000000000001" customHeight="1" thickTop="1" thickBot="1">
      <c r="A167" s="1"/>
      <c r="B167" s="22">
        <v>166</v>
      </c>
      <c r="C167" s="22" t="s">
        <v>757</v>
      </c>
      <c r="D167" s="22" t="s">
        <v>13</v>
      </c>
      <c r="E167" s="23" t="s">
        <v>569</v>
      </c>
      <c r="F167" s="22" t="str">
        <f ca="1">IFERROR(__xludf.DUMMYFUNCTION("GOOGLETRANSLATE(E167,""ar"",""en"")"),"He says come in the afternoon, and the person in charge will be there.")</f>
        <v>He says come in the afternoon, and the person in charge will be there.</v>
      </c>
      <c r="G167" s="22" t="s">
        <v>3700</v>
      </c>
      <c r="H167" s="24" t="s">
        <v>3588</v>
      </c>
      <c r="I167" s="23" t="s">
        <v>307</v>
      </c>
      <c r="J167" s="5" t="str">
        <f ca="1">IFERROR(__xludf.DUMMYFUNCTION("GOOGLETRANSLATE(G167,""ar"",""en"")"),"#VALUE!")</f>
        <v>#VALUE!</v>
      </c>
      <c r="K167" s="11"/>
      <c r="L167" s="11" t="s">
        <v>758</v>
      </c>
      <c r="M167" s="5" t="str">
        <f ca="1">IFERROR(__xludf.DUMMYFUNCTION("GOOGLETRANSLATE(J167,""ar"",""en"")"),"Al-Khunaini Station")</f>
        <v>Al-Khunaini Station</v>
      </c>
      <c r="N167" s="12" t="s">
        <v>759</v>
      </c>
      <c r="O167" s="10" t="s">
        <v>760</v>
      </c>
    </row>
    <row r="168" spans="1:15" ht="20.100000000000001" customHeight="1" thickTop="1" thickBot="1">
      <c r="A168" s="1"/>
      <c r="B168" s="22">
        <v>167</v>
      </c>
      <c r="C168" s="22" t="s">
        <v>761</v>
      </c>
      <c r="D168" s="22" t="s">
        <v>13</v>
      </c>
      <c r="E168" s="22" t="s">
        <v>762</v>
      </c>
      <c r="F168" s="22" t="str">
        <f ca="1">IFERROR(__xludf.DUMMYFUNCTION("GOOGLETRANSLATE(E168,""ar"",""en"")"),"Central markets")</f>
        <v>Central markets</v>
      </c>
      <c r="G168" s="22" t="s">
        <v>3700</v>
      </c>
      <c r="H168" s="24" t="s">
        <v>3588</v>
      </c>
      <c r="I168" s="22" t="s">
        <v>763</v>
      </c>
      <c r="J168" s="5" t="str">
        <f ca="1">IFERROR(__xludf.DUMMYFUNCTION("GOOGLETRANSLATE(G168,""ar"",""en"")"),"Al-Ahsa neighborhood")</f>
        <v>Al-Ahsa neighborhood</v>
      </c>
      <c r="K168" s="5"/>
      <c r="L168" s="5"/>
      <c r="M168" s="5" t="str">
        <f ca="1">IFERROR(__xludf.DUMMYFUNCTION("GOOGLETRANSLATE(J168,""ar"",""en"")"),"#VALUE!")</f>
        <v>#VALUE!</v>
      </c>
      <c r="N168" s="6" t="s">
        <v>764</v>
      </c>
      <c r="O168" s="10" t="s">
        <v>765</v>
      </c>
    </row>
    <row r="169" spans="1:15" ht="20.100000000000001" customHeight="1" thickTop="1" thickBot="1">
      <c r="A169" s="1"/>
      <c r="B169" s="22">
        <v>168</v>
      </c>
      <c r="C169" s="22" t="s">
        <v>766</v>
      </c>
      <c r="D169" s="22" t="s">
        <v>13</v>
      </c>
      <c r="E169" s="23" t="s">
        <v>767</v>
      </c>
      <c r="F169" s="22" t="str">
        <f ca="1">IFERROR(__xludf.DUMMYFUNCTION("GOOGLETRANSLATE(E169,""ar"",""en"")"),"White Crown Supermarket")</f>
        <v>White Crown Supermarket</v>
      </c>
      <c r="G169" s="22" t="s">
        <v>3700</v>
      </c>
      <c r="H169" s="24" t="s">
        <v>3588</v>
      </c>
      <c r="I169" s="22" t="s">
        <v>763</v>
      </c>
      <c r="J169" s="5" t="str">
        <f ca="1">IFERROR(__xludf.DUMMYFUNCTION("GOOGLETRANSLATE(G169,""ar"",""en"")"),"Al-Ahsa neighborhood")</f>
        <v>Al-Ahsa neighborhood</v>
      </c>
      <c r="K169" s="11">
        <v>552955159</v>
      </c>
      <c r="L169" s="11"/>
      <c r="M169" s="5" t="str">
        <f ca="1">IFERROR(__xludf.DUMMYFUNCTION("GOOGLETRANSLATE(J169,""ar"",""en"")"),"#VALUE!")</f>
        <v>#VALUE!</v>
      </c>
      <c r="N169" s="12" t="s">
        <v>768</v>
      </c>
      <c r="O169" s="10" t="s">
        <v>769</v>
      </c>
    </row>
    <row r="170" spans="1:15" ht="20.100000000000001" customHeight="1" thickTop="1" thickBot="1">
      <c r="A170" s="1"/>
      <c r="B170" s="22">
        <v>169</v>
      </c>
      <c r="C170" s="22" t="s">
        <v>770</v>
      </c>
      <c r="D170" s="22" t="s">
        <v>13</v>
      </c>
      <c r="E170" s="22" t="s">
        <v>648</v>
      </c>
      <c r="F170" s="22" t="str">
        <f ca="1">IFERROR(__xludf.DUMMYFUNCTION("GOOGLETRANSLATE(E170,""ar"",""en"")"),"Najoum Al Khairat Company")</f>
        <v>Najoum Al Khairat Company</v>
      </c>
      <c r="G170" s="22" t="s">
        <v>3700</v>
      </c>
      <c r="H170" s="24" t="s">
        <v>3588</v>
      </c>
      <c r="I170" s="22" t="s">
        <v>3602</v>
      </c>
      <c r="J170" s="5" t="str">
        <f ca="1">IFERROR(__xludf.DUMMYFUNCTION("GOOGLETRANSLATE(G170,""ar"",""en"")"),"Al Khaleej District, Jubail Industrial City")</f>
        <v>Al Khaleej District, Jubail Industrial City</v>
      </c>
      <c r="K170" s="5"/>
      <c r="L170" s="5"/>
      <c r="M170" s="5" t="str">
        <f ca="1">IFERROR(__xludf.DUMMYFUNCTION("GOOGLETRANSLATE(J170,""ar"",""en"")"),"#VALUE!")</f>
        <v>#VALUE!</v>
      </c>
      <c r="N170" s="6" t="s">
        <v>771</v>
      </c>
      <c r="O170" s="10" t="s">
        <v>772</v>
      </c>
    </row>
    <row r="171" spans="1:15" ht="20.100000000000001" customHeight="1" thickTop="1" thickBot="1">
      <c r="A171" s="1"/>
      <c r="B171" s="22">
        <v>170</v>
      </c>
      <c r="C171" s="22" t="s">
        <v>773</v>
      </c>
      <c r="D171" s="22" t="s">
        <v>13</v>
      </c>
      <c r="E171" s="23" t="s">
        <v>774</v>
      </c>
      <c r="F171" s="22" t="str">
        <f ca="1">IFERROR(__xludf.DUMMYFUNCTION("GOOGLETRANSLATE(E171,""ar"",""en"")"),"Munir Marketing Center")</f>
        <v>Munir Marketing Center</v>
      </c>
      <c r="G171" s="22" t="s">
        <v>3700</v>
      </c>
      <c r="H171" s="24" t="s">
        <v>3588</v>
      </c>
      <c r="I171" s="22" t="s">
        <v>763</v>
      </c>
      <c r="J171" s="5" t="str">
        <f ca="1">IFERROR(__xludf.DUMMYFUNCTION("GOOGLETRANSLATE(G171,""ar"",""en"")"),"Al-Ahsa neighborhood")</f>
        <v>Al-Ahsa neighborhood</v>
      </c>
      <c r="K171" s="11">
        <v>533586748</v>
      </c>
      <c r="L171" s="11" t="s">
        <v>3580</v>
      </c>
      <c r="M171" s="5" t="str">
        <f ca="1">IFERROR(__xludf.DUMMYFUNCTION("GOOGLETRANSLATE(J171,""ar"",""en"")"),"#ERROR!")</f>
        <v>#ERROR!</v>
      </c>
      <c r="N171" s="12" t="s">
        <v>775</v>
      </c>
      <c r="O171" s="10" t="s">
        <v>776</v>
      </c>
    </row>
    <row r="172" spans="1:15" ht="20.100000000000001" customHeight="1" thickTop="1" thickBot="1">
      <c r="A172" s="1"/>
      <c r="B172" s="22">
        <v>171</v>
      </c>
      <c r="C172" s="22" t="s">
        <v>777</v>
      </c>
      <c r="D172" s="22" t="s">
        <v>13</v>
      </c>
      <c r="E172" s="22" t="s">
        <v>778</v>
      </c>
      <c r="F172" s="22" t="str">
        <f ca="1">IFERROR(__xludf.DUMMYFUNCTION("GOOGLETRANSLATE(E172,""ar"",""en"")"),"Al-Dhahabi Al-Sharqi Company Supermarket")</f>
        <v>Al-Dhahabi Al-Sharqi Company Supermarket</v>
      </c>
      <c r="G172" s="22" t="s">
        <v>3700</v>
      </c>
      <c r="H172" s="24" t="s">
        <v>3588</v>
      </c>
      <c r="I172" s="22" t="s">
        <v>307</v>
      </c>
      <c r="J172" s="5" t="str">
        <f ca="1">IFERROR(__xludf.DUMMYFUNCTION("GOOGLETRANSLATE(G172,""ar"",""en"")"),"Al-Fayha")</f>
        <v>Al-Fayha</v>
      </c>
      <c r="K172" s="5">
        <v>590018981</v>
      </c>
      <c r="L172" s="5" t="s">
        <v>779</v>
      </c>
      <c r="M172" s="5" t="str">
        <f ca="1">IFERROR(__xludf.DUMMYFUNCTION("GOOGLETRANSLATE(J172,""ar"",""en"")"),"Saleh Ahmed")</f>
        <v>Saleh Ahmed</v>
      </c>
      <c r="N172" s="6" t="s">
        <v>780</v>
      </c>
      <c r="O172" s="10" t="s">
        <v>781</v>
      </c>
    </row>
    <row r="173" spans="1:15" ht="20.100000000000001" customHeight="1" thickTop="1" thickBot="1">
      <c r="A173" s="1"/>
      <c r="B173" s="22">
        <v>172</v>
      </c>
      <c r="C173" s="22" t="s">
        <v>782</v>
      </c>
      <c r="D173" s="22" t="s">
        <v>13</v>
      </c>
      <c r="E173" s="23" t="s">
        <v>783</v>
      </c>
      <c r="F173" s="22" t="str">
        <f ca="1">IFERROR(__xludf.DUMMYFUNCTION("GOOGLETRANSLATE(E173,""ar"",""en"")"),"Taj Al-Dakhil Grocery")</f>
        <v>Taj Al-Dakhil Grocery</v>
      </c>
      <c r="G173" s="22" t="s">
        <v>3700</v>
      </c>
      <c r="H173" s="24" t="s">
        <v>3589</v>
      </c>
      <c r="I173" s="23" t="s">
        <v>3116</v>
      </c>
      <c r="J173" s="5" t="str">
        <f ca="1">IFERROR(__xludf.DUMMYFUNCTION("GOOGLETRANSLATE(G173,""ar"",""en"")"),"Jubail")</f>
        <v>Jubail</v>
      </c>
      <c r="K173" s="11">
        <v>537201008</v>
      </c>
      <c r="L173" s="11"/>
      <c r="M173" s="5" t="str">
        <f ca="1">IFERROR(__xludf.DUMMYFUNCTION("GOOGLETRANSLATE(J173,""ar"",""en"")"),"#VALUE!")</f>
        <v>#VALUE!</v>
      </c>
      <c r="N173" s="12" t="s">
        <v>784</v>
      </c>
      <c r="O173" s="10" t="s">
        <v>785</v>
      </c>
    </row>
    <row r="174" spans="1:15" ht="20.100000000000001" customHeight="1" thickTop="1" thickBot="1">
      <c r="A174" s="1"/>
      <c r="B174" s="22">
        <v>173</v>
      </c>
      <c r="C174" s="22" t="s">
        <v>786</v>
      </c>
      <c r="D174" s="22" t="s">
        <v>13</v>
      </c>
      <c r="E174" s="22" t="s">
        <v>787</v>
      </c>
      <c r="F174" s="22" t="str">
        <f ca="1">IFERROR(__xludf.DUMMYFUNCTION("GOOGLETRANSLATE(E174,""ar"",""en"")"),"Al Fajr Supplies")</f>
        <v>Al Fajr Supplies</v>
      </c>
      <c r="G174" s="22" t="s">
        <v>3700</v>
      </c>
      <c r="H174" s="24" t="s">
        <v>3589</v>
      </c>
      <c r="I174" s="23" t="s">
        <v>3116</v>
      </c>
      <c r="J174" s="5" t="str">
        <f ca="1">IFERROR(__xludf.DUMMYFUNCTION("GOOGLETRANSLATE(G174,""ar"",""en"")"),"Jubail")</f>
        <v>Jubail</v>
      </c>
      <c r="K174" s="5">
        <v>502762213</v>
      </c>
      <c r="L174" s="5"/>
      <c r="M174" s="5" t="str">
        <f ca="1">IFERROR(__xludf.DUMMYFUNCTION("GOOGLETRANSLATE(J174,""ar"",""en"")"),"#VALUE!")</f>
        <v>#VALUE!</v>
      </c>
      <c r="N174" s="6" t="s">
        <v>788</v>
      </c>
      <c r="O174" s="10" t="s">
        <v>789</v>
      </c>
    </row>
    <row r="175" spans="1:15" ht="20.100000000000001" customHeight="1" thickTop="1" thickBot="1">
      <c r="A175" s="1"/>
      <c r="B175" s="22">
        <v>174</v>
      </c>
      <c r="C175" s="22" t="s">
        <v>790</v>
      </c>
      <c r="D175" s="22" t="s">
        <v>13</v>
      </c>
      <c r="E175" s="23" t="s">
        <v>791</v>
      </c>
      <c r="F175" s="22" t="str">
        <f ca="1">IFERROR(__xludf.DUMMYFUNCTION("GOOGLETRANSLATE(E175,""ar"",""en"")"),"Devao Eagle Catering")</f>
        <v>Devao Eagle Catering</v>
      </c>
      <c r="G175" s="22" t="s">
        <v>3700</v>
      </c>
      <c r="H175" s="24" t="s">
        <v>3589</v>
      </c>
      <c r="I175" s="23" t="s">
        <v>3116</v>
      </c>
      <c r="J175" s="5" t="str">
        <f ca="1">IFERROR(__xludf.DUMMYFUNCTION("GOOGLETRANSLATE(G175,""ar"",""en"")"),"Jubail")</f>
        <v>Jubail</v>
      </c>
      <c r="K175" s="11"/>
      <c r="L175" s="11"/>
      <c r="M175" s="5" t="str">
        <f ca="1">IFERROR(__xludf.DUMMYFUNCTION("GOOGLETRANSLATE(J175,""ar"",""en"")"),"#VALUE!")</f>
        <v>#VALUE!</v>
      </c>
      <c r="N175" s="12" t="s">
        <v>792</v>
      </c>
      <c r="O175" s="10" t="s">
        <v>793</v>
      </c>
    </row>
    <row r="176" spans="1:15" ht="20.100000000000001" customHeight="1" thickTop="1" thickBot="1">
      <c r="A176" s="1"/>
      <c r="B176" s="22">
        <v>175</v>
      </c>
      <c r="C176" s="22" t="s">
        <v>794</v>
      </c>
      <c r="D176" s="22" t="s">
        <v>13</v>
      </c>
      <c r="E176" s="22" t="s">
        <v>3603</v>
      </c>
      <c r="F176" s="22" t="str">
        <f ca="1">IFERROR(__xludf.DUMMYFUNCTION("GOOGLETRANSLATE(E176,""ar"",""en"")"),"Naseem Al Jubail")</f>
        <v>Naseem Al Jubail</v>
      </c>
      <c r="G176" s="22" t="s">
        <v>3700</v>
      </c>
      <c r="H176" s="24" t="s">
        <v>3589</v>
      </c>
      <c r="I176" s="22" t="s">
        <v>3604</v>
      </c>
      <c r="J176" s="5" t="str">
        <f ca="1">IFERROR(__xludf.DUMMYFUNCTION("GOOGLETRANSLATE(G176,""ar"",""en"")"),"Jubail City")</f>
        <v>Jubail City</v>
      </c>
      <c r="K176" s="5">
        <v>501211819</v>
      </c>
      <c r="L176" s="5"/>
      <c r="M176" s="5" t="str">
        <f ca="1">IFERROR(__xludf.DUMMYFUNCTION("GOOGLETRANSLATE(J176,""ar"",""en"")"),"#VALUE!")</f>
        <v>#VALUE!</v>
      </c>
      <c r="N176" s="6" t="s">
        <v>795</v>
      </c>
      <c r="O176" s="10" t="s">
        <v>796</v>
      </c>
    </row>
    <row r="177" spans="1:15" ht="20.100000000000001" customHeight="1" thickTop="1" thickBot="1">
      <c r="A177" s="1"/>
      <c r="B177" s="22">
        <v>176</v>
      </c>
      <c r="C177" s="22" t="s">
        <v>797</v>
      </c>
      <c r="D177" s="22" t="s">
        <v>13</v>
      </c>
      <c r="E177" s="23" t="s">
        <v>798</v>
      </c>
      <c r="F177" s="22" t="str">
        <f ca="1">IFERROR(__xludf.DUMMYFUNCTION("GOOGLETRANSLATE(E177,""ar"",""en"")"),"Main Center, Jubail Markets Supplies")</f>
        <v>Main Center, Jubail Markets Supplies</v>
      </c>
      <c r="G177" s="22" t="s">
        <v>3700</v>
      </c>
      <c r="H177" s="24" t="s">
        <v>3589</v>
      </c>
      <c r="I177" s="23" t="s">
        <v>3035</v>
      </c>
      <c r="J177" s="5" t="str">
        <f ca="1">IFERROR(__xludf.DUMMYFUNCTION("GOOGLETRANSLATE(G177,""ar"",""en"")"),"Jubail City")</f>
        <v>Jubail City</v>
      </c>
      <c r="K177" s="11"/>
      <c r="L177" s="11"/>
      <c r="M177" s="5" t="str">
        <f ca="1">IFERROR(__xludf.DUMMYFUNCTION("GOOGLETRANSLATE(J177,""ar"",""en"")"),"#VALUE!")</f>
        <v>#VALUE!</v>
      </c>
      <c r="N177" s="12" t="s">
        <v>799</v>
      </c>
      <c r="O177" s="10" t="s">
        <v>800</v>
      </c>
    </row>
    <row r="178" spans="1:15" ht="20.100000000000001" customHeight="1" thickTop="1" thickBot="1">
      <c r="A178" s="1"/>
      <c r="B178" s="22">
        <v>177</v>
      </c>
      <c r="C178" s="22" t="s">
        <v>801</v>
      </c>
      <c r="D178" s="22" t="s">
        <v>13</v>
      </c>
      <c r="E178" s="22" t="s">
        <v>3605</v>
      </c>
      <c r="F178" s="22" t="str">
        <f ca="1">IFERROR(__xludf.DUMMYFUNCTION("GOOGLETRANSLATE(E178,""ar"",""en"")"),"The branch is Jubail Markets Establishment")</f>
        <v>The branch is Jubail Markets Establishment</v>
      </c>
      <c r="G178" s="22" t="s">
        <v>3700</v>
      </c>
      <c r="H178" s="24" t="s">
        <v>3589</v>
      </c>
      <c r="I178" s="23" t="s">
        <v>3035</v>
      </c>
      <c r="J178" s="5" t="str">
        <f ca="1">IFERROR(__xludf.DUMMYFUNCTION("GOOGLETRANSLATE(G178,""ar"",""en"")"),"Jubail")</f>
        <v>Jubail</v>
      </c>
      <c r="K178" s="5"/>
      <c r="L178" s="5"/>
      <c r="M178" s="5" t="str">
        <f ca="1">IFERROR(__xludf.DUMMYFUNCTION("GOOGLETRANSLATE(J178,""ar"",""en"")"),"#VALUE!")</f>
        <v>#VALUE!</v>
      </c>
      <c r="N178" s="6" t="s">
        <v>802</v>
      </c>
      <c r="O178" s="10" t="s">
        <v>803</v>
      </c>
    </row>
    <row r="179" spans="1:15" ht="20.100000000000001" customHeight="1" thickTop="1" thickBot="1">
      <c r="A179" s="1"/>
      <c r="B179" s="22">
        <v>178</v>
      </c>
      <c r="C179" s="22" t="s">
        <v>804</v>
      </c>
      <c r="D179" s="22" t="s">
        <v>13</v>
      </c>
      <c r="E179" s="23" t="s">
        <v>805</v>
      </c>
      <c r="F179" s="22" t="str">
        <f ca="1">IFERROR(__xludf.DUMMYFUNCTION("GOOGLETRANSLATE(E179,""ar"",""en"")"),"Azm Market")</f>
        <v>Azm Market</v>
      </c>
      <c r="G179" s="22" t="s">
        <v>3700</v>
      </c>
      <c r="H179" s="24" t="s">
        <v>3589</v>
      </c>
      <c r="I179" s="23" t="s">
        <v>3604</v>
      </c>
      <c r="J179" s="5" t="str">
        <f ca="1">IFERROR(__xludf.DUMMYFUNCTION("GOOGLETRANSLATE(G179,""ar"",""en"")"),"Medina Road")</f>
        <v>Medina Road</v>
      </c>
      <c r="K179" s="11">
        <v>500397830</v>
      </c>
      <c r="L179" s="11"/>
      <c r="M179" s="5" t="str">
        <f ca="1">IFERROR(__xludf.DUMMYFUNCTION("GOOGLETRANSLATE(J179,""ar"",""en"")"),"#VALUE!")</f>
        <v>#VALUE!</v>
      </c>
      <c r="N179" s="12" t="s">
        <v>806</v>
      </c>
      <c r="O179" s="10" t="s">
        <v>807</v>
      </c>
    </row>
    <row r="180" spans="1:15" ht="20.100000000000001" customHeight="1" thickTop="1" thickBot="1">
      <c r="A180" s="1"/>
      <c r="B180" s="22">
        <v>179</v>
      </c>
      <c r="C180" s="22" t="s">
        <v>808</v>
      </c>
      <c r="D180" s="22" t="s">
        <v>13</v>
      </c>
      <c r="E180" s="22" t="s">
        <v>809</v>
      </c>
      <c r="F180" s="22" t="str">
        <f ca="1">IFERROR(__xludf.DUMMYFUNCTION("GOOGLETRANSLATE(E180,""ar"",""en"")"),"Food Supply Company")</f>
        <v>Food Supply Company</v>
      </c>
      <c r="G180" s="22" t="s">
        <v>3700</v>
      </c>
      <c r="H180" s="24" t="s">
        <v>3589</v>
      </c>
      <c r="I180" s="22" t="s">
        <v>3604</v>
      </c>
      <c r="J180" s="5" t="str">
        <f ca="1">IFERROR(__xludf.DUMMYFUNCTION("GOOGLETRANSLATE(G180,""ar"",""en"")"),"Jubail City")</f>
        <v>Jubail City</v>
      </c>
      <c r="K180" s="5">
        <v>538580536</v>
      </c>
      <c r="L180" s="5"/>
      <c r="M180" s="5" t="str">
        <f ca="1">IFERROR(__xludf.DUMMYFUNCTION("GOOGLETRANSLATE(J180,""ar"",""en"")"),"#VALUE!")</f>
        <v>#VALUE!</v>
      </c>
      <c r="N180" s="6" t="s">
        <v>810</v>
      </c>
      <c r="O180" s="10" t="s">
        <v>811</v>
      </c>
    </row>
    <row r="181" spans="1:15" ht="20.100000000000001" customHeight="1" thickTop="1" thickBot="1">
      <c r="A181" s="1"/>
      <c r="B181" s="22">
        <v>180</v>
      </c>
      <c r="C181" s="22" t="s">
        <v>812</v>
      </c>
      <c r="D181" s="22" t="s">
        <v>13</v>
      </c>
      <c r="E181" s="23" t="s">
        <v>1923</v>
      </c>
      <c r="F181" s="22" t="str">
        <f ca="1">IFERROR(__xludf.DUMMYFUNCTION("GOOGLETRANSLATE(E181,""ar"",""en"")"),"Dhahran-Jubail Road")</f>
        <v>Dhahran-Jubail Road</v>
      </c>
      <c r="G181" s="22" t="s">
        <v>3700</v>
      </c>
      <c r="H181" s="24" t="s">
        <v>3589</v>
      </c>
      <c r="I181" s="22" t="s">
        <v>813</v>
      </c>
      <c r="J181" s="5" t="str">
        <f ca="1">IFERROR(__xludf.DUMMYFUNCTION("GOOGLETRANSLATE(G181,""ar"",""en"")"),"#VALUE!")</f>
        <v>#VALUE!</v>
      </c>
      <c r="K181" s="11">
        <v>501306119</v>
      </c>
      <c r="L181" s="11" t="s">
        <v>814</v>
      </c>
      <c r="M181" s="5" t="str">
        <f ca="1">IFERROR(__xludf.DUMMYFUNCTION("GOOGLETRANSLATE(J181,""ar"",""en"")"),"Al-Drees Station")</f>
        <v>Al-Drees Station</v>
      </c>
      <c r="N181" s="12" t="s">
        <v>815</v>
      </c>
      <c r="O181" s="10" t="s">
        <v>816</v>
      </c>
    </row>
    <row r="182" spans="1:15" ht="20.100000000000001" customHeight="1" thickTop="1" thickBot="1">
      <c r="A182" s="1"/>
      <c r="B182" s="22">
        <v>181</v>
      </c>
      <c r="C182" s="22" t="s">
        <v>817</v>
      </c>
      <c r="D182" s="22" t="s">
        <v>13</v>
      </c>
      <c r="E182" s="22" t="s">
        <v>3606</v>
      </c>
      <c r="F182" s="22" t="str">
        <f ca="1">IFERROR(__xludf.DUMMYFUNCTION("GOOGLETRANSLATE(E182,""ar"",""en"")"),"Najoum Durrat Al Samaa Supermarkets, Dhahran-Jubail Road")</f>
        <v>Najoum Durrat Al Samaa Supermarkets, Dhahran-Jubail Road</v>
      </c>
      <c r="G182" s="22" t="s">
        <v>3700</v>
      </c>
      <c r="H182" s="24" t="s">
        <v>3589</v>
      </c>
      <c r="I182" s="22" t="s">
        <v>3607</v>
      </c>
      <c r="J182" s="5" t="str">
        <f ca="1">IFERROR(__xludf.DUMMYFUNCTION("GOOGLETRANSLATE(G182,""ar"",""en"")"),"#VALUE!")</f>
        <v>#VALUE!</v>
      </c>
      <c r="K182" s="5"/>
      <c r="L182" s="5"/>
      <c r="M182" s="5" t="str">
        <f ca="1">IFERROR(__xludf.DUMMYFUNCTION("GOOGLETRANSLATE(J182,""ar"",""en"")"),"#VALUE!")</f>
        <v>#VALUE!</v>
      </c>
      <c r="N182" s="6" t="s">
        <v>818</v>
      </c>
      <c r="O182" s="10" t="s">
        <v>819</v>
      </c>
    </row>
    <row r="183" spans="1:15" ht="20.100000000000001" customHeight="1" thickTop="1" thickBot="1">
      <c r="A183" s="1"/>
      <c r="B183" s="22">
        <v>182</v>
      </c>
      <c r="C183" s="22" t="s">
        <v>820</v>
      </c>
      <c r="D183" s="22" t="s">
        <v>13</v>
      </c>
      <c r="E183" s="23" t="s">
        <v>3608</v>
      </c>
      <c r="F183" s="22" t="str">
        <f ca="1">IFERROR(__xludf.DUMMYFUNCTION("GOOGLETRANSLATE(E183,""ar"",""en"")"),"Sabl Al Musafir Central Markets, Dhahran-Jubail Road")</f>
        <v>Sabl Al Musafir Central Markets, Dhahran-Jubail Road</v>
      </c>
      <c r="G183" s="22" t="s">
        <v>3700</v>
      </c>
      <c r="H183" s="24" t="s">
        <v>3589</v>
      </c>
      <c r="I183" s="22" t="s">
        <v>3607</v>
      </c>
      <c r="J183" s="5" t="str">
        <f ca="1">IFERROR(__xludf.DUMMYFUNCTION("GOOGLETRANSLATE(G183,""ar"",""en"")"),"#VALUE!")</f>
        <v>#VALUE!</v>
      </c>
      <c r="K183" s="11"/>
      <c r="L183" s="11"/>
      <c r="M183" s="5" t="str">
        <f ca="1">IFERROR(__xludf.DUMMYFUNCTION("GOOGLETRANSLATE(J183,""ar"",""en"")"),"#VALUE!")</f>
        <v>#VALUE!</v>
      </c>
      <c r="N183" s="12" t="s">
        <v>821</v>
      </c>
      <c r="O183" s="10" t="s">
        <v>822</v>
      </c>
    </row>
    <row r="184" spans="1:15" ht="20.100000000000001" customHeight="1" thickTop="1" thickBot="1">
      <c r="A184" s="1"/>
      <c r="B184" s="22">
        <v>183</v>
      </c>
      <c r="C184" s="22" t="s">
        <v>823</v>
      </c>
      <c r="D184" s="22" t="s">
        <v>13</v>
      </c>
      <c r="E184" s="22" t="s">
        <v>824</v>
      </c>
      <c r="F184" s="22" t="str">
        <f ca="1">IFERROR(__xludf.DUMMYFUNCTION("GOOGLETRANSLATE(E184,""ar"",""en"")"),"Arwa Markets, Mohammed Al-Sayari")</f>
        <v>Arwa Markets, Mohammed Al-Sayari</v>
      </c>
      <c r="G184" s="22" t="s">
        <v>3700</v>
      </c>
      <c r="H184" s="24" t="s">
        <v>3589</v>
      </c>
      <c r="I184" s="22" t="s">
        <v>3607</v>
      </c>
      <c r="J184" s="5" t="str">
        <f ca="1">IFERROR(__xludf.DUMMYFUNCTION("GOOGLETRANSLATE(G184,""ar"",""en"")"),"#VALUE!")</f>
        <v>#VALUE!</v>
      </c>
      <c r="K184" s="5">
        <v>572681556</v>
      </c>
      <c r="L184" s="5"/>
      <c r="M184" s="5" t="str">
        <f ca="1">IFERROR(__xludf.DUMMYFUNCTION("GOOGLETRANSLATE(J184,""ar"",""en"")"),"#VALUE!")</f>
        <v>#VALUE!</v>
      </c>
      <c r="N184" s="6" t="s">
        <v>825</v>
      </c>
      <c r="O184" s="10" t="s">
        <v>826</v>
      </c>
    </row>
    <row r="185" spans="1:15" ht="20.100000000000001" customHeight="1" thickTop="1" thickBot="1">
      <c r="A185" s="1"/>
      <c r="B185" s="22">
        <v>184</v>
      </c>
      <c r="C185" s="22" t="s">
        <v>827</v>
      </c>
      <c r="D185" s="22" t="s">
        <v>13</v>
      </c>
      <c r="E185" s="23" t="s">
        <v>3609</v>
      </c>
      <c r="F185" s="22" t="str">
        <f ca="1">IFERROR(__xludf.DUMMYFUNCTION("GOOGLETRANSLATE(E185,""ar"",""en"")"),"#VALUE!")</f>
        <v>#VALUE!</v>
      </c>
      <c r="G185" s="22" t="s">
        <v>3700</v>
      </c>
      <c r="H185" s="24" t="s">
        <v>3589</v>
      </c>
      <c r="I185" s="22" t="s">
        <v>3607</v>
      </c>
      <c r="J185" s="5" t="str">
        <f ca="1">IFERROR(__xludf.DUMMYFUNCTION("GOOGLETRANSLATE(G185,""ar"",""en"")"),"#VALUE!")</f>
        <v>#VALUE!</v>
      </c>
      <c r="K185" s="11"/>
      <c r="L185" s="11"/>
      <c r="M185" s="5" t="str">
        <f ca="1">IFERROR(__xludf.DUMMYFUNCTION("GOOGLETRANSLATE(J185,""ar"",""en"")"),"#VALUE!")</f>
        <v>#VALUE!</v>
      </c>
      <c r="N185" s="12" t="s">
        <v>828</v>
      </c>
      <c r="O185" s="10" t="s">
        <v>829</v>
      </c>
    </row>
    <row r="186" spans="1:15" ht="20.100000000000001" customHeight="1" thickTop="1" thickBot="1">
      <c r="A186" s="1"/>
      <c r="B186" s="22">
        <v>185</v>
      </c>
      <c r="C186" s="22" t="s">
        <v>830</v>
      </c>
      <c r="D186" s="22" t="s">
        <v>13</v>
      </c>
      <c r="E186" s="22" t="s">
        <v>809</v>
      </c>
      <c r="F186" s="22" t="str">
        <f ca="1">IFERROR(__xludf.DUMMYFUNCTION("GOOGLETRANSLATE(E186,""ar"",""en"")"),"#VALUE!")</f>
        <v>#VALUE!</v>
      </c>
      <c r="G186" s="22" t="s">
        <v>3700</v>
      </c>
      <c r="H186" s="24" t="s">
        <v>3589</v>
      </c>
      <c r="I186" s="22" t="s">
        <v>3607</v>
      </c>
      <c r="J186" s="5" t="str">
        <f ca="1">IFERROR(__xludf.DUMMYFUNCTION("GOOGLETRANSLATE(G186,""ar"",""en"")"),"#VALUE!")</f>
        <v>#VALUE!</v>
      </c>
      <c r="K186" s="5"/>
      <c r="L186" s="5"/>
      <c r="M186" s="5" t="str">
        <f ca="1">IFERROR(__xludf.DUMMYFUNCTION("GOOGLETRANSLATE(J186,""ar"",""en"")"),"#VALUE!")</f>
        <v>#VALUE!</v>
      </c>
      <c r="N186" s="6" t="s">
        <v>831</v>
      </c>
      <c r="O186" s="10" t="s">
        <v>832</v>
      </c>
    </row>
    <row r="187" spans="1:15" ht="20.100000000000001" customHeight="1" thickTop="1" thickBot="1">
      <c r="A187" s="1"/>
      <c r="B187" s="22">
        <v>186</v>
      </c>
      <c r="C187" s="22" t="s">
        <v>833</v>
      </c>
      <c r="D187" s="22" t="s">
        <v>13</v>
      </c>
      <c r="E187" s="23" t="s">
        <v>805</v>
      </c>
      <c r="F187" s="22" t="str">
        <f ca="1">IFERROR(__xludf.DUMMYFUNCTION("GOOGLETRANSLATE(E187,""ar"",""en"")"),"Azm Market")</f>
        <v>Azm Market</v>
      </c>
      <c r="G187" s="22" t="s">
        <v>3700</v>
      </c>
      <c r="H187" s="24" t="s">
        <v>3589</v>
      </c>
      <c r="I187" s="23" t="s">
        <v>3604</v>
      </c>
      <c r="J187" s="5" t="str">
        <f ca="1">IFERROR(__xludf.DUMMYFUNCTION("GOOGLETRANSLATE(G187,""ar"",""en"")"),"Jubail City")</f>
        <v>Jubail City</v>
      </c>
      <c r="K187" s="11">
        <v>581674793</v>
      </c>
      <c r="L187" s="11" t="s">
        <v>3610</v>
      </c>
      <c r="M187" s="5" t="str">
        <f ca="1">IFERROR(__xludf.DUMMYFUNCTION("GOOGLETRANSLATE(J187,""ar"",""en"")"),"#VALUE!")</f>
        <v>#VALUE!</v>
      </c>
      <c r="N187" s="12" t="s">
        <v>834</v>
      </c>
      <c r="O187" s="10" t="s">
        <v>835</v>
      </c>
    </row>
    <row r="188" spans="1:15" ht="20.100000000000001" customHeight="1" thickTop="1" thickBot="1">
      <c r="A188" s="1"/>
      <c r="B188" s="22">
        <v>187</v>
      </c>
      <c r="C188" s="22" t="s">
        <v>836</v>
      </c>
      <c r="D188" s="22" t="s">
        <v>13</v>
      </c>
      <c r="E188" s="22" t="s">
        <v>837</v>
      </c>
      <c r="F188" s="22" t="str">
        <f ca="1">IFERROR(__xludf.DUMMYFUNCTION("GOOGLETRANSLATE(E188,""ar"",""en"")"),"Kinda Supplies")</f>
        <v>Kinda Supplies</v>
      </c>
      <c r="G188" s="22" t="s">
        <v>3700</v>
      </c>
      <c r="H188" s="24" t="s">
        <v>3589</v>
      </c>
      <c r="I188" s="23" t="s">
        <v>3116</v>
      </c>
      <c r="J188" s="5" t="str">
        <f ca="1">IFERROR(__xludf.DUMMYFUNCTION("GOOGLETRANSLATE(G188,""ar"",""en"")"),"Jubail")</f>
        <v>Jubail</v>
      </c>
      <c r="K188" s="5">
        <v>576792924</v>
      </c>
      <c r="L188" s="5" t="s">
        <v>838</v>
      </c>
      <c r="M188" s="5" t="str">
        <f ca="1">IFERROR(__xludf.DUMMYFUNCTION("GOOGLETRANSLATE(J188,""ar"",""en"")"),"Abu Yassin")</f>
        <v>Abu Yassin</v>
      </c>
      <c r="N188" s="6" t="s">
        <v>839</v>
      </c>
      <c r="O188" s="10" t="s">
        <v>840</v>
      </c>
    </row>
    <row r="189" spans="1:15" ht="20.100000000000001" customHeight="1" thickTop="1" thickBot="1">
      <c r="A189" s="1"/>
      <c r="B189" s="22">
        <v>188</v>
      </c>
      <c r="C189" s="22" t="s">
        <v>841</v>
      </c>
      <c r="D189" s="22" t="s">
        <v>13</v>
      </c>
      <c r="E189" s="23" t="s">
        <v>842</v>
      </c>
      <c r="F189" s="22" t="str">
        <f ca="1">IFERROR(__xludf.DUMMYFUNCTION("GOOGLETRANSLATE(E189,""ar"",""en"")"),"Secrets of Nutrition Foundation")</f>
        <v>Secrets of Nutrition Foundation</v>
      </c>
      <c r="G189" s="22" t="s">
        <v>3700</v>
      </c>
      <c r="H189" s="24" t="s">
        <v>3589</v>
      </c>
      <c r="I189" s="23" t="s">
        <v>3116</v>
      </c>
      <c r="J189" s="5" t="str">
        <f ca="1">IFERROR(__xludf.DUMMYFUNCTION("GOOGLETRANSLATE(G189,""ar"",""en"")"),"Good")</f>
        <v>Good</v>
      </c>
      <c r="K189" s="11">
        <v>501155181</v>
      </c>
      <c r="L189" s="11"/>
      <c r="M189" s="5" t="str">
        <f ca="1">IFERROR(__xludf.DUMMYFUNCTION("GOOGLETRANSLATE(J189,""ar"",""en"")"),"#VALUE!")</f>
        <v>#VALUE!</v>
      </c>
      <c r="N189" s="12" t="s">
        <v>843</v>
      </c>
      <c r="O189" s="10" t="s">
        <v>844</v>
      </c>
    </row>
    <row r="190" spans="1:15" ht="20.100000000000001" customHeight="1" thickTop="1" thickBot="1">
      <c r="A190" s="1"/>
      <c r="B190" s="22">
        <v>189</v>
      </c>
      <c r="C190" s="22" t="s">
        <v>845</v>
      </c>
      <c r="D190" s="22" t="s">
        <v>13</v>
      </c>
      <c r="E190" s="22" t="s">
        <v>846</v>
      </c>
      <c r="F190" s="22" t="str">
        <f ca="1">IFERROR(__xludf.DUMMYFUNCTION("GOOGLETRANSLATE(E190,""ar"",""en"")"),"Rishn Tayba Supplies")</f>
        <v>Rishn Tayba Supplies</v>
      </c>
      <c r="G190" s="22" t="s">
        <v>3700</v>
      </c>
      <c r="H190" s="24" t="s">
        <v>3589</v>
      </c>
      <c r="I190" s="23" t="s">
        <v>3116</v>
      </c>
      <c r="J190" s="5" t="str">
        <f ca="1">IFERROR(__xludf.DUMMYFUNCTION("GOOGLETRANSLATE(G190,""ar"",""en"")"),"Good")</f>
        <v>Good</v>
      </c>
      <c r="K190" s="5">
        <v>506808442</v>
      </c>
      <c r="L190" s="5"/>
      <c r="M190" s="5" t="str">
        <f ca="1">IFERROR(__xludf.DUMMYFUNCTION("GOOGLETRANSLATE(J190,""ar"",""en"")"),"#VALUE!")</f>
        <v>#VALUE!</v>
      </c>
      <c r="N190" s="6" t="s">
        <v>847</v>
      </c>
      <c r="O190" s="10" t="s">
        <v>848</v>
      </c>
    </row>
    <row r="191" spans="1:15" ht="20.100000000000001" customHeight="1" thickTop="1" thickBot="1">
      <c r="A191" s="1"/>
      <c r="B191" s="22">
        <v>190</v>
      </c>
      <c r="C191" s="22" t="s">
        <v>849</v>
      </c>
      <c r="D191" s="22" t="s">
        <v>13</v>
      </c>
      <c r="E191" s="23" t="s">
        <v>809</v>
      </c>
      <c r="F191" s="22" t="str">
        <f ca="1">IFERROR(__xludf.DUMMYFUNCTION("GOOGLETRANSLATE(E191,""ar"",""en"")"),"#VALUE!")</f>
        <v>#VALUE!</v>
      </c>
      <c r="G191" s="22" t="s">
        <v>3700</v>
      </c>
      <c r="H191" s="24" t="s">
        <v>3589</v>
      </c>
      <c r="I191" s="23" t="s">
        <v>3116</v>
      </c>
      <c r="J191" s="5" t="str">
        <f ca="1">IFERROR(__xludf.DUMMYFUNCTION("GOOGLETRANSLATE(G191,""ar"",""en"")"),"#VALUE!")</f>
        <v>#VALUE!</v>
      </c>
      <c r="K191" s="11"/>
      <c r="L191" s="11"/>
      <c r="M191" s="5" t="str">
        <f ca="1">IFERROR(__xludf.DUMMYFUNCTION("GOOGLETRANSLATE(J191,""ar"",""en"")"),"#VALUE!")</f>
        <v>#VALUE!</v>
      </c>
      <c r="N191" s="12" t="s">
        <v>850</v>
      </c>
      <c r="O191" s="10" t="s">
        <v>851</v>
      </c>
    </row>
    <row r="192" spans="1:15" ht="20.100000000000001" customHeight="1" thickTop="1" thickBot="1">
      <c r="A192" s="1"/>
      <c r="B192" s="22">
        <v>191</v>
      </c>
      <c r="C192" s="22" t="s">
        <v>852</v>
      </c>
      <c r="D192" s="22" t="s">
        <v>13</v>
      </c>
      <c r="E192" s="22" t="s">
        <v>853</v>
      </c>
      <c r="F192" s="22" t="str">
        <f ca="1">IFERROR(__xludf.DUMMYFUNCTION("GOOGLETRANSLATE(E192,""ar"",""en"")"),"Rushdi Abu Ainin Company")</f>
        <v>Rushdi Abu Ainin Company</v>
      </c>
      <c r="G192" s="22" t="s">
        <v>3700</v>
      </c>
      <c r="H192" s="24" t="s">
        <v>3589</v>
      </c>
      <c r="I192" s="23" t="s">
        <v>3116</v>
      </c>
      <c r="J192" s="5" t="str">
        <f ca="1">IFERROR(__xludf.DUMMYFUNCTION("GOOGLETRANSLATE(G192,""ar"",""en"")"),"Jubail City")</f>
        <v>Jubail City</v>
      </c>
      <c r="K192" s="5"/>
      <c r="L192" s="5"/>
      <c r="M192" s="5" t="str">
        <f ca="1">IFERROR(__xludf.DUMMYFUNCTION("GOOGLETRANSLATE(J192,""ar"",""en"")"),"#VALUE!")</f>
        <v>#VALUE!</v>
      </c>
      <c r="N192" s="6" t="s">
        <v>854</v>
      </c>
      <c r="O192" s="10" t="s">
        <v>855</v>
      </c>
    </row>
    <row r="193" spans="1:15" ht="20.100000000000001" customHeight="1" thickTop="1" thickBot="1">
      <c r="A193" s="1"/>
      <c r="B193" s="22">
        <v>192</v>
      </c>
      <c r="C193" s="22" t="s">
        <v>856</v>
      </c>
      <c r="D193" s="22" t="s">
        <v>13</v>
      </c>
      <c r="E193" s="23" t="s">
        <v>857</v>
      </c>
      <c r="F193" s="22" t="str">
        <f ca="1">IFERROR(__xludf.DUMMYFUNCTION("GOOGLETRANSLATE(E193,""ar"",""en"")"),"Barakat Al-Dakhil Supplies")</f>
        <v>Barakat Al-Dakhil Supplies</v>
      </c>
      <c r="G193" s="22" t="s">
        <v>3700</v>
      </c>
      <c r="H193" s="24" t="s">
        <v>3589</v>
      </c>
      <c r="I193" s="23" t="s">
        <v>3116</v>
      </c>
      <c r="J193" s="5" t="str">
        <f ca="1">IFERROR(__xludf.DUMMYFUNCTION("GOOGLETRANSLATE(G193,""ar"",""en"")"),"Good")</f>
        <v>Good</v>
      </c>
      <c r="K193" s="11">
        <v>503410293</v>
      </c>
      <c r="L193" s="11" t="s">
        <v>858</v>
      </c>
      <c r="M193" s="5" t="str">
        <f ca="1">IFERROR(__xludf.DUMMYFUNCTION("GOOGLETRANSLATE(J193,""ar"",""en"")"),"Abu Uday")</f>
        <v>Abu Uday</v>
      </c>
      <c r="N193" s="12"/>
      <c r="O193" s="13"/>
    </row>
    <row r="194" spans="1:15" ht="20.100000000000001" customHeight="1" thickTop="1" thickBot="1">
      <c r="A194" s="1"/>
      <c r="B194" s="22">
        <v>193</v>
      </c>
      <c r="C194" s="22" t="s">
        <v>859</v>
      </c>
      <c r="D194" s="22" t="s">
        <v>13</v>
      </c>
      <c r="E194" s="22" t="s">
        <v>860</v>
      </c>
      <c r="F194" s="22" t="str">
        <f ca="1">IFERROR(__xludf.DUMMYFUNCTION("GOOGLETRANSLATE(E194,""ar"",""en"")"),"Qutouf Grocery Income")</f>
        <v>Qutouf Grocery Income</v>
      </c>
      <c r="G194" s="22" t="s">
        <v>3700</v>
      </c>
      <c r="H194" s="24" t="s">
        <v>3589</v>
      </c>
      <c r="I194" s="23" t="s">
        <v>3116</v>
      </c>
      <c r="J194" s="5" t="str">
        <f ca="1">IFERROR(__xludf.DUMMYFUNCTION("GOOGLETRANSLATE(G194,""ar"",""en"")"),"Good")</f>
        <v>Good</v>
      </c>
      <c r="K194" s="5">
        <v>530031418</v>
      </c>
      <c r="L194" s="5"/>
      <c r="M194" s="5" t="str">
        <f ca="1">IFERROR(__xludf.DUMMYFUNCTION("GOOGLETRANSLATE(J194,""ar"",""en"")"),"#VALUE!")</f>
        <v>#VALUE!</v>
      </c>
      <c r="N194" s="6" t="s">
        <v>861</v>
      </c>
      <c r="O194" s="10" t="s">
        <v>862</v>
      </c>
    </row>
    <row r="195" spans="1:15" ht="20.100000000000001" customHeight="1" thickTop="1" thickBot="1">
      <c r="A195" s="1"/>
      <c r="B195" s="22">
        <v>194</v>
      </c>
      <c r="C195" s="22" t="s">
        <v>863</v>
      </c>
      <c r="D195" s="22" t="s">
        <v>13</v>
      </c>
      <c r="E195" s="23" t="s">
        <v>864</v>
      </c>
      <c r="F195" s="22" t="str">
        <f ca="1">IFERROR(__xludf.DUMMYFUNCTION("GOOGLETRANSLATE(E195,""ar"",""en"")"),"Salem Aqeel Al Menhali Foundation")</f>
        <v>Salem Aqeel Al Menhali Foundation</v>
      </c>
      <c r="G195" s="22" t="s">
        <v>3700</v>
      </c>
      <c r="H195" s="24" t="s">
        <v>3589</v>
      </c>
      <c r="I195" s="23" t="s">
        <v>3116</v>
      </c>
      <c r="J195" s="5" t="str">
        <f ca="1">IFERROR(__xludf.DUMMYFUNCTION("GOOGLETRANSLATE(G195,""ar"",""en"")"),"Good")</f>
        <v>Good</v>
      </c>
      <c r="K195" s="11">
        <v>545036961</v>
      </c>
      <c r="L195" s="11"/>
      <c r="M195" s="5" t="str">
        <f ca="1">IFERROR(__xludf.DUMMYFUNCTION("GOOGLETRANSLATE(J195,""ar"",""en"")"),"#VALUE!")</f>
        <v>#VALUE!</v>
      </c>
      <c r="N195" s="12" t="s">
        <v>865</v>
      </c>
      <c r="O195" s="10" t="s">
        <v>866</v>
      </c>
    </row>
    <row r="196" spans="1:15" ht="20.100000000000001" customHeight="1" thickTop="1" thickBot="1">
      <c r="A196" s="1"/>
      <c r="B196" s="22">
        <v>195</v>
      </c>
      <c r="C196" s="22" t="s">
        <v>867</v>
      </c>
      <c r="D196" s="22" t="s">
        <v>13</v>
      </c>
      <c r="E196" s="22" t="s">
        <v>868</v>
      </c>
      <c r="F196" s="22" t="str">
        <f ca="1">IFERROR(__xludf.DUMMYFUNCTION("GOOGLETRANSLATE(E196,""ar"",""en"")"),"Najoum Hawazen Markets")</f>
        <v>Najoum Hawazen Markets</v>
      </c>
      <c r="G196" s="22" t="s">
        <v>3700</v>
      </c>
      <c r="H196" s="24" t="s">
        <v>3589</v>
      </c>
      <c r="I196" s="23" t="s">
        <v>3116</v>
      </c>
      <c r="J196" s="5" t="str">
        <f ca="1">IFERROR(__xludf.DUMMYFUNCTION("GOOGLETRANSLATE(G196,""ar"",""en"")"),"Good")</f>
        <v>Good</v>
      </c>
      <c r="K196" s="5"/>
      <c r="L196" s="5"/>
      <c r="M196" s="5" t="str">
        <f ca="1">IFERROR(__xludf.DUMMYFUNCTION("GOOGLETRANSLATE(J196,""ar"",""en"")"),"#VALUE!")</f>
        <v>#VALUE!</v>
      </c>
      <c r="N196" s="6" t="s">
        <v>869</v>
      </c>
      <c r="O196" s="10" t="s">
        <v>870</v>
      </c>
    </row>
    <row r="197" spans="1:15" ht="20.100000000000001" customHeight="1" thickTop="1" thickBot="1">
      <c r="A197" s="1"/>
      <c r="B197" s="22">
        <v>196</v>
      </c>
      <c r="C197" s="22" t="s">
        <v>871</v>
      </c>
      <c r="D197" s="22" t="s">
        <v>13</v>
      </c>
      <c r="E197" s="23" t="s">
        <v>872</v>
      </c>
      <c r="F197" s="22" t="str">
        <f ca="1">IFERROR(__xludf.DUMMYFUNCTION("GOOGLETRANSLATE(E197,""ar"",""en"")"),"Admarket")</f>
        <v>Admarket</v>
      </c>
      <c r="G197" s="22" t="s">
        <v>3700</v>
      </c>
      <c r="H197" s="24" t="s">
        <v>3589</v>
      </c>
      <c r="I197" s="23" t="s">
        <v>3116</v>
      </c>
      <c r="J197" s="5" t="str">
        <f ca="1">IFERROR(__xludf.DUMMYFUNCTION("GOOGLETRANSLATE(G197,""ar"",""en"")"),"#VALUE!")</f>
        <v>#VALUE!</v>
      </c>
      <c r="K197" s="11">
        <v>567198503</v>
      </c>
      <c r="L197" s="11"/>
      <c r="M197" s="5" t="str">
        <f ca="1">IFERROR(__xludf.DUMMYFUNCTION("GOOGLETRANSLATE(J197,""ar"",""en"")"),"#VALUE!")</f>
        <v>#VALUE!</v>
      </c>
      <c r="N197" s="12" t="s">
        <v>873</v>
      </c>
      <c r="O197" s="10" t="s">
        <v>874</v>
      </c>
    </row>
    <row r="198" spans="1:15" ht="20.100000000000001" customHeight="1" thickTop="1" thickBot="1">
      <c r="A198" s="1"/>
      <c r="B198" s="22">
        <v>197</v>
      </c>
      <c r="C198" s="22" t="s">
        <v>875</v>
      </c>
      <c r="D198" s="22" t="s">
        <v>13</v>
      </c>
      <c r="E198" s="22" t="s">
        <v>577</v>
      </c>
      <c r="F198" s="22" t="str">
        <f ca="1">IFERROR(__xludf.DUMMYFUNCTION("GOOGLETRANSLATE(E198,""ar"",""en"")"),"Narges Company")</f>
        <v>Narges Company</v>
      </c>
      <c r="G198" s="22" t="s">
        <v>3700</v>
      </c>
      <c r="H198" s="24" t="s">
        <v>3589</v>
      </c>
      <c r="I198" s="22" t="s">
        <v>3611</v>
      </c>
      <c r="J198" s="5" t="str">
        <f ca="1">IFERROR(__xludf.DUMMYFUNCTION("GOOGLETRANSLATE(G198,""ar"",""en"")"),"Al Rawdah, Jubail Industrial City")</f>
        <v>Al Rawdah, Jubail Industrial City</v>
      </c>
      <c r="K198" s="5">
        <v>534027883</v>
      </c>
      <c r="L198" s="5"/>
      <c r="M198" s="5" t="str">
        <f ca="1">IFERROR(__xludf.DUMMYFUNCTION("GOOGLETRANSLATE(J198,""ar"",""en"")"),"#VALUE!")</f>
        <v>#VALUE!</v>
      </c>
      <c r="N198" s="6" t="s">
        <v>876</v>
      </c>
      <c r="O198" s="10" t="s">
        <v>877</v>
      </c>
    </row>
    <row r="199" spans="1:15" ht="20.100000000000001" customHeight="1" thickTop="1" thickBot="1">
      <c r="A199" s="1"/>
      <c r="B199" s="22">
        <v>198</v>
      </c>
      <c r="C199" s="22" t="s">
        <v>878</v>
      </c>
      <c r="D199" s="22" t="s">
        <v>13</v>
      </c>
      <c r="E199" s="23" t="s">
        <v>868</v>
      </c>
      <c r="F199" s="22" t="str">
        <f ca="1">IFERROR(__xludf.DUMMYFUNCTION("GOOGLETRANSLATE(E199,""ar"",""en"")"),"Najoum Hawazen Markets")</f>
        <v>Najoum Hawazen Markets</v>
      </c>
      <c r="G199" s="22" t="s">
        <v>3700</v>
      </c>
      <c r="H199" s="24" t="s">
        <v>3589</v>
      </c>
      <c r="I199" s="22" t="s">
        <v>3611</v>
      </c>
      <c r="J199" s="5" t="str">
        <f ca="1">IFERROR(__xludf.DUMMYFUNCTION("GOOGLETRANSLATE(G199,""ar"",""en"")"),"Kindergarten")</f>
        <v>Kindergarten</v>
      </c>
      <c r="K199" s="11"/>
      <c r="L199" s="11"/>
      <c r="M199" s="5" t="str">
        <f ca="1">IFERROR(__xludf.DUMMYFUNCTION("GOOGLETRANSLATE(J199,""ar"",""en"")"),"#VALUE!")</f>
        <v>#VALUE!</v>
      </c>
      <c r="N199" s="12" t="s">
        <v>879</v>
      </c>
      <c r="O199" s="10" t="s">
        <v>880</v>
      </c>
    </row>
    <row r="200" spans="1:15" ht="20.100000000000001" customHeight="1" thickTop="1" thickBot="1">
      <c r="A200" s="1"/>
      <c r="B200" s="22">
        <v>199</v>
      </c>
      <c r="C200" s="22" t="s">
        <v>881</v>
      </c>
      <c r="D200" s="22" t="s">
        <v>13</v>
      </c>
      <c r="E200" s="22" t="s">
        <v>882</v>
      </c>
      <c r="F200" s="22" t="str">
        <f ca="1">IFERROR(__xludf.DUMMYFUNCTION("GOOGLETRANSLATE(E200,""ar"",""en"")"),"Sharma Arab Supermarket")</f>
        <v>Sharma Arab Supermarket</v>
      </c>
      <c r="G200" s="22" t="s">
        <v>3700</v>
      </c>
      <c r="H200" s="24" t="s">
        <v>3589</v>
      </c>
      <c r="I200" s="22" t="s">
        <v>3611</v>
      </c>
      <c r="J200" s="5" t="str">
        <f ca="1">IFERROR(__xludf.DUMMYFUNCTION("GOOGLETRANSLATE(G200,""ar"",""en"")"),"Kindergarten")</f>
        <v>Kindergarten</v>
      </c>
      <c r="K200" s="5">
        <v>501662407</v>
      </c>
      <c r="L200" s="5"/>
      <c r="M200" s="5" t="str">
        <f ca="1">IFERROR(__xludf.DUMMYFUNCTION("GOOGLETRANSLATE(J200,""ar"",""en"")"),"#VALUE!")</f>
        <v>#VALUE!</v>
      </c>
      <c r="N200" s="6" t="s">
        <v>883</v>
      </c>
      <c r="O200" s="10" t="s">
        <v>884</v>
      </c>
    </row>
    <row r="201" spans="1:15" ht="20.100000000000001" customHeight="1" thickTop="1" thickBot="1">
      <c r="A201" s="1"/>
      <c r="B201" s="22">
        <v>200</v>
      </c>
      <c r="C201" s="22" t="s">
        <v>885</v>
      </c>
      <c r="D201" s="22" t="s">
        <v>13</v>
      </c>
      <c r="E201" s="23" t="s">
        <v>886</v>
      </c>
      <c r="F201" s="22" t="str">
        <f ca="1">IFERROR(__xludf.DUMMYFUNCTION("GOOGLETRANSLATE(E201,""ar"",""en"")"),"Narges Markets Company, Jubail")</f>
        <v>Narges Markets Company, Jubail</v>
      </c>
      <c r="G201" s="22" t="s">
        <v>3700</v>
      </c>
      <c r="H201" s="24" t="s">
        <v>3589</v>
      </c>
      <c r="I201" s="22" t="s">
        <v>3611</v>
      </c>
      <c r="J201" s="5" t="str">
        <f ca="1">IFERROR(__xludf.DUMMYFUNCTION("GOOGLETRANSLATE(G201,""ar"",""en"")"),"Jubail")</f>
        <v>Jubail</v>
      </c>
      <c r="K201" s="11">
        <v>506963170</v>
      </c>
      <c r="L201" s="11" t="s">
        <v>887</v>
      </c>
      <c r="M201" s="5" t="str">
        <f ca="1">IFERROR(__xludf.DUMMYFUNCTION("GOOGLETRANSLATE(J201,""ar"",""en"")"),"Abdul Hamid")</f>
        <v>Abdul Hamid</v>
      </c>
      <c r="N201" s="12" t="s">
        <v>888</v>
      </c>
      <c r="O201" s="10" t="s">
        <v>889</v>
      </c>
    </row>
    <row r="202" spans="1:15" ht="20.100000000000001" customHeight="1" thickTop="1" thickBot="1">
      <c r="A202" s="1"/>
      <c r="B202" s="22">
        <v>201</v>
      </c>
      <c r="C202" s="22" t="s">
        <v>890</v>
      </c>
      <c r="D202" s="22" t="s">
        <v>13</v>
      </c>
      <c r="E202" s="22" t="s">
        <v>569</v>
      </c>
      <c r="F202" s="22" t="str">
        <f ca="1">IFERROR(__xludf.DUMMYFUNCTION("GOOGLETRANSLATE(E202,""ar"",""en"")"),"Al-Dhahabi Al-Sharqi Company")</f>
        <v>Al-Dhahabi Al-Sharqi Company</v>
      </c>
      <c r="G202" s="22" t="s">
        <v>3700</v>
      </c>
      <c r="H202" s="24" t="s">
        <v>3589</v>
      </c>
      <c r="I202" s="22" t="s">
        <v>3611</v>
      </c>
      <c r="J202" s="5" t="str">
        <f ca="1">IFERROR(__xludf.DUMMYFUNCTION("GOOGLETRANSLATE(G202,""ar"",""en"")"),"Dhahran-Jubail Road")</f>
        <v>Dhahran-Jubail Road</v>
      </c>
      <c r="K202" s="5">
        <v>553525981</v>
      </c>
      <c r="L202" s="5"/>
      <c r="M202" s="5" t="str">
        <f ca="1">IFERROR(__xludf.DUMMYFUNCTION("GOOGLETRANSLATE(J202,""ar"",""en"")"),"#VALUE!")</f>
        <v>#VALUE!</v>
      </c>
      <c r="N202" s="6" t="s">
        <v>891</v>
      </c>
      <c r="O202" s="10" t="s">
        <v>892</v>
      </c>
    </row>
    <row r="203" spans="1:15" ht="20.100000000000001" customHeight="1" thickTop="1" thickBot="1">
      <c r="A203" s="1"/>
      <c r="B203" s="22">
        <v>202</v>
      </c>
      <c r="C203" s="22" t="s">
        <v>893</v>
      </c>
      <c r="D203" s="22" t="s">
        <v>13</v>
      </c>
      <c r="E203" s="23" t="s">
        <v>894</v>
      </c>
      <c r="F203" s="22" t="str">
        <f ca="1">IFERROR(__xludf.DUMMYFUNCTION("GOOGLETRANSLATE(E203,""ar"",""en"")"),"Eastern Baskets Markets")</f>
        <v>Eastern Baskets Markets</v>
      </c>
      <c r="G203" s="22" t="s">
        <v>3700</v>
      </c>
      <c r="H203" s="24" t="s">
        <v>3589</v>
      </c>
      <c r="I203" s="23" t="s">
        <v>3612</v>
      </c>
      <c r="J203" s="5" t="str">
        <f ca="1">IFERROR(__xludf.DUMMYFUNCTION("GOOGLETRANSLATE(G203,""ar"",""en"")"),"Al-Hamra")</f>
        <v>Al-Hamra</v>
      </c>
      <c r="K203" s="11">
        <v>504321690</v>
      </c>
      <c r="L203" s="11"/>
      <c r="M203" s="5" t="str">
        <f ca="1">IFERROR(__xludf.DUMMYFUNCTION("GOOGLETRANSLATE(J203,""ar"",""en"")"),"#VALUE!")</f>
        <v>#VALUE!</v>
      </c>
      <c r="N203" s="12" t="s">
        <v>895</v>
      </c>
      <c r="O203" s="10" t="s">
        <v>896</v>
      </c>
    </row>
    <row r="204" spans="1:15" ht="20.100000000000001" customHeight="1" thickTop="1" thickBot="1">
      <c r="A204" s="1"/>
      <c r="B204" s="22">
        <v>203</v>
      </c>
      <c r="C204" s="22" t="s">
        <v>897</v>
      </c>
      <c r="D204" s="22" t="s">
        <v>13</v>
      </c>
      <c r="E204" s="22" t="s">
        <v>898</v>
      </c>
      <c r="F204" s="22" t="str">
        <f ca="1">IFERROR(__xludf.DUMMYFUNCTION("GOOGLETRANSLATE(E204,""ar"",""en"")"),"Refite Mart")</f>
        <v>Refite Mart</v>
      </c>
      <c r="G204" s="22" t="s">
        <v>3700</v>
      </c>
      <c r="H204" s="24" t="s">
        <v>3589</v>
      </c>
      <c r="I204" s="23" t="s">
        <v>3612</v>
      </c>
      <c r="J204" s="5" t="str">
        <f ca="1">IFERROR(__xludf.DUMMYFUNCTION("GOOGLETRANSLATE(G204,""ar"",""en"")"),"Al-Hamra")</f>
        <v>Al-Hamra</v>
      </c>
      <c r="K204" s="5">
        <v>554142393</v>
      </c>
      <c r="L204" s="5" t="s">
        <v>899</v>
      </c>
      <c r="M204" s="5" t="str">
        <f ca="1">IFERROR(__xludf.DUMMYFUNCTION("GOOGLETRANSLATE(J204,""ar"",""en"")"),"Abu Sultan")</f>
        <v>Abu Sultan</v>
      </c>
      <c r="N204" s="6" t="s">
        <v>900</v>
      </c>
      <c r="O204" s="10" t="s">
        <v>901</v>
      </c>
    </row>
    <row r="205" spans="1:15" ht="20.100000000000001" customHeight="1" thickTop="1" thickBot="1">
      <c r="A205" s="1"/>
      <c r="B205" s="22">
        <v>204</v>
      </c>
      <c r="C205" s="22" t="s">
        <v>902</v>
      </c>
      <c r="D205" s="22" t="s">
        <v>13</v>
      </c>
      <c r="E205" s="23" t="s">
        <v>903</v>
      </c>
      <c r="F205" s="22" t="str">
        <f ca="1">IFERROR(__xludf.DUMMYFUNCTION("GOOGLETRANSLATE(E205,""ar"",""en"")"),"Narges Markets and Bakeries")</f>
        <v>Narges Markets and Bakeries</v>
      </c>
      <c r="G205" s="22" t="s">
        <v>3700</v>
      </c>
      <c r="H205" s="24" t="s">
        <v>3589</v>
      </c>
      <c r="I205" s="23" t="s">
        <v>3612</v>
      </c>
      <c r="J205" s="5" t="str">
        <f ca="1">IFERROR(__xludf.DUMMYFUNCTION("GOOGLETRANSLATE(G205,""ar"",""en"")"),"Al-Hamra")</f>
        <v>Al-Hamra</v>
      </c>
      <c r="K205" s="11">
        <v>567392294</v>
      </c>
      <c r="L205" s="11" t="s">
        <v>294</v>
      </c>
      <c r="M205" s="5" t="str">
        <f ca="1">IFERROR(__xludf.DUMMYFUNCTION("GOOGLETRANSLATE(J205,""ar"",""en"")"),"Mohammed")</f>
        <v>Mohammed</v>
      </c>
      <c r="N205" s="12" t="s">
        <v>904</v>
      </c>
      <c r="O205" s="10" t="s">
        <v>905</v>
      </c>
    </row>
    <row r="206" spans="1:15" ht="20.100000000000001" customHeight="1" thickTop="1" thickBot="1">
      <c r="A206" s="1"/>
      <c r="B206" s="22">
        <v>205</v>
      </c>
      <c r="C206" s="22" t="s">
        <v>906</v>
      </c>
      <c r="D206" s="22" t="s">
        <v>13</v>
      </c>
      <c r="E206" s="22" t="s">
        <v>809</v>
      </c>
      <c r="F206" s="22" t="str">
        <f ca="1">IFERROR(__xludf.DUMMYFUNCTION("GOOGLETRANSLATE(E206,""ar"",""en"")"),"#VALUE!")</f>
        <v>#VALUE!</v>
      </c>
      <c r="G206" s="22" t="s">
        <v>3700</v>
      </c>
      <c r="H206" s="24" t="s">
        <v>3589</v>
      </c>
      <c r="I206" s="23" t="s">
        <v>3612</v>
      </c>
      <c r="J206" s="5" t="str">
        <f ca="1">IFERROR(__xludf.DUMMYFUNCTION("GOOGLETRANSLATE(G206,""ar"",""en"")"),"#VALUE!")</f>
        <v>#VALUE!</v>
      </c>
      <c r="K206" s="5"/>
      <c r="L206" s="5"/>
      <c r="M206" s="5" t="str">
        <f ca="1">IFERROR(__xludf.DUMMYFUNCTION("GOOGLETRANSLATE(J206,""ar"",""en"")"),"#VALUE!")</f>
        <v>#VALUE!</v>
      </c>
      <c r="N206" s="6" t="s">
        <v>907</v>
      </c>
      <c r="O206" s="10" t="s">
        <v>908</v>
      </c>
    </row>
    <row r="207" spans="1:15" ht="20.100000000000001" customHeight="1" thickTop="1" thickBot="1">
      <c r="A207" s="1"/>
      <c r="B207" s="22">
        <v>206</v>
      </c>
      <c r="C207" s="22" t="s">
        <v>909</v>
      </c>
      <c r="D207" s="22" t="s">
        <v>13</v>
      </c>
      <c r="E207" s="23" t="s">
        <v>910</v>
      </c>
      <c r="F207" s="22" t="str">
        <f ca="1">IFERROR(__xludf.DUMMYFUNCTION("GOOGLETRANSLATE(E207,""ar"",""en"")"),"Nature's Goodness Markets")</f>
        <v>Nature's Goodness Markets</v>
      </c>
      <c r="G207" s="22" t="s">
        <v>3700</v>
      </c>
      <c r="H207" s="24" t="s">
        <v>3589</v>
      </c>
      <c r="I207" s="23" t="s">
        <v>3612</v>
      </c>
      <c r="J207" s="5" t="str">
        <f ca="1">IFERROR(__xludf.DUMMYFUNCTION("GOOGLETRANSLATE(G207,""ar"",""en"")"),"Al-Hamra")</f>
        <v>Al-Hamra</v>
      </c>
      <c r="K207" s="11">
        <v>558105529</v>
      </c>
      <c r="L207" s="11" t="s">
        <v>470</v>
      </c>
      <c r="M207" s="5" t="str">
        <f ca="1">IFERROR(__xludf.DUMMYFUNCTION("GOOGLETRANSLATE(J207,""ar"",""en"")"),"Tareq")</f>
        <v>Tareq</v>
      </c>
      <c r="N207" s="12" t="s">
        <v>911</v>
      </c>
      <c r="O207" s="10" t="s">
        <v>912</v>
      </c>
    </row>
    <row r="208" spans="1:15" ht="20.100000000000001" customHeight="1" thickTop="1" thickBot="1">
      <c r="A208" s="1"/>
      <c r="B208" s="22">
        <v>207</v>
      </c>
      <c r="C208" s="22" t="s">
        <v>913</v>
      </c>
      <c r="D208" s="22" t="s">
        <v>13</v>
      </c>
      <c r="E208" s="22" t="s">
        <v>914</v>
      </c>
      <c r="F208" s="22" t="str">
        <f ca="1">IFERROR(__xludf.DUMMYFUNCTION("GOOGLETRANSLATE(E208,""ar"",""en"")"),"Jubail Beach Supplies")</f>
        <v>Jubail Beach Supplies</v>
      </c>
      <c r="G208" s="22" t="s">
        <v>3700</v>
      </c>
      <c r="H208" s="24" t="s">
        <v>3589</v>
      </c>
      <c r="I208" s="22" t="s">
        <v>813</v>
      </c>
      <c r="J208" s="5" t="str">
        <f ca="1">IFERROR(__xludf.DUMMYFUNCTION("GOOGLETRANSLATE(G208,""ar"",""en"")"),"road")</f>
        <v>road</v>
      </c>
      <c r="K208" s="5">
        <v>533137319</v>
      </c>
      <c r="L208" s="5" t="s">
        <v>175</v>
      </c>
      <c r="M208" s="5" t="str">
        <f ca="1">IFERROR(__xludf.DUMMYFUNCTION("GOOGLETRANSLATE(J208,""ar"",""en"")"),"Abdullah")</f>
        <v>Abdullah</v>
      </c>
      <c r="N208" s="6" t="s">
        <v>915</v>
      </c>
      <c r="O208" s="10" t="s">
        <v>916</v>
      </c>
    </row>
    <row r="209" spans="1:15" ht="20.100000000000001" customHeight="1" thickTop="1" thickBot="1">
      <c r="A209" s="1"/>
      <c r="B209" s="22">
        <v>208</v>
      </c>
      <c r="C209" s="22" t="s">
        <v>917</v>
      </c>
      <c r="D209" s="22" t="s">
        <v>13</v>
      </c>
      <c r="E209" s="23" t="s">
        <v>918</v>
      </c>
      <c r="F209" s="22" t="str">
        <f ca="1">IFERROR(__xludf.DUMMYFUNCTION("GOOGLETRANSLATE(E209,""ar"",""en"")"),"Arkan Al Ahlam Catering")</f>
        <v>Arkan Al Ahlam Catering</v>
      </c>
      <c r="G209" s="22" t="s">
        <v>3700</v>
      </c>
      <c r="H209" s="24" t="s">
        <v>3589</v>
      </c>
      <c r="I209" s="23" t="s">
        <v>2913</v>
      </c>
      <c r="J209" s="5" t="str">
        <f ca="1">IFERROR(__xludf.DUMMYFUNCTION("GOOGLETRANSLATE(G209,""ar"",""en"")"),"Cordoba")</f>
        <v>Cordoba</v>
      </c>
      <c r="K209" s="11">
        <v>551193586</v>
      </c>
      <c r="L209" s="11" t="s">
        <v>919</v>
      </c>
      <c r="M209" s="5" t="str">
        <f ca="1">IFERROR(__xludf.DUMMYFUNCTION("GOOGLETRANSLATE(J209,""ar"",""en"")"),"righteous")</f>
        <v>righteous</v>
      </c>
      <c r="N209" s="12" t="s">
        <v>920</v>
      </c>
      <c r="O209" s="10" t="s">
        <v>921</v>
      </c>
    </row>
    <row r="210" spans="1:15" ht="20.100000000000001" customHeight="1" thickTop="1" thickBot="1">
      <c r="A210" s="1"/>
      <c r="B210" s="22">
        <v>209</v>
      </c>
      <c r="C210" s="22" t="s">
        <v>922</v>
      </c>
      <c r="D210" s="22" t="s">
        <v>13</v>
      </c>
      <c r="E210" s="22" t="s">
        <v>569</v>
      </c>
      <c r="F210" s="22" t="str">
        <f ca="1">IFERROR(__xludf.DUMMYFUNCTION("GOOGLETRANSLATE(E210,""ar"",""en"")"),"Al-Dhahabi Al-Sharqi Company")</f>
        <v>Al-Dhahabi Al-Sharqi Company</v>
      </c>
      <c r="G210" s="22" t="s">
        <v>3700</v>
      </c>
      <c r="H210" s="24" t="s">
        <v>3589</v>
      </c>
      <c r="I210" s="22" t="s">
        <v>3613</v>
      </c>
      <c r="J210" s="5" t="str">
        <f ca="1">IFERROR(__xludf.DUMMYFUNCTION("GOOGLETRANSLATE(G210,""ar"",""en"")"),"Seville")</f>
        <v>Seville</v>
      </c>
      <c r="K210" s="5">
        <v>509664425</v>
      </c>
      <c r="L210" s="5" t="s">
        <v>741</v>
      </c>
      <c r="M210" s="5" t="str">
        <f ca="1">IFERROR(__xludf.DUMMYFUNCTION("GOOGLETRANSLATE(J210,""ar"",""en"")"),"Salah")</f>
        <v>Salah</v>
      </c>
      <c r="N210" s="6" t="s">
        <v>923</v>
      </c>
      <c r="O210" s="10" t="s">
        <v>924</v>
      </c>
    </row>
    <row r="211" spans="1:15" ht="20.100000000000001" customHeight="1" thickTop="1" thickBot="1">
      <c r="A211" s="1"/>
      <c r="B211" s="22">
        <v>210</v>
      </c>
      <c r="C211" s="22" t="s">
        <v>925</v>
      </c>
      <c r="D211" s="22" t="s">
        <v>13</v>
      </c>
      <c r="E211" s="23" t="s">
        <v>926</v>
      </c>
      <c r="F211" s="22" t="str">
        <f ca="1">IFERROR(__xludf.DUMMYFUNCTION("GOOGLETRANSLATE(E211,""ar"",""en"")"),"Omar Al-Sayari Provisions")</f>
        <v>Omar Al-Sayari Provisions</v>
      </c>
      <c r="G211" s="22" t="s">
        <v>3700</v>
      </c>
      <c r="H211" s="24" t="s">
        <v>3589</v>
      </c>
      <c r="I211" s="22" t="s">
        <v>3613</v>
      </c>
      <c r="J211" s="5" t="str">
        <f ca="1">IFERROR(__xludf.DUMMYFUNCTION("GOOGLETRANSLATE(G211,""ar"",""en"")"),"Seville")</f>
        <v>Seville</v>
      </c>
      <c r="K211" s="11">
        <v>535749953</v>
      </c>
      <c r="L211" s="11" t="s">
        <v>83</v>
      </c>
      <c r="M211" s="5" t="str">
        <f ca="1">IFERROR(__xludf.DUMMYFUNCTION("GOOGLETRANSLATE(J211,""ar"",""en"")"),"on")</f>
        <v>on</v>
      </c>
      <c r="N211" s="12" t="s">
        <v>927</v>
      </c>
      <c r="O211" s="10" t="s">
        <v>928</v>
      </c>
    </row>
    <row r="212" spans="1:15" ht="20.100000000000001" customHeight="1" thickTop="1" thickBot="1">
      <c r="A212" s="1"/>
      <c r="B212" s="22">
        <v>211</v>
      </c>
      <c r="C212" s="22" t="s">
        <v>929</v>
      </c>
      <c r="D212" s="22" t="s">
        <v>13</v>
      </c>
      <c r="E212" s="22" t="s">
        <v>930</v>
      </c>
      <c r="F212" s="22" t="str">
        <f ca="1">IFERROR(__xludf.DUMMYFUNCTION("GOOGLETRANSLATE(E212,""ar"",""en"")"),"High-end food markets")</f>
        <v>High-end food markets</v>
      </c>
      <c r="G212" s="22" t="s">
        <v>3700</v>
      </c>
      <c r="H212" s="24" t="s">
        <v>3589</v>
      </c>
      <c r="I212" s="22" t="s">
        <v>3613</v>
      </c>
      <c r="J212" s="5" t="str">
        <f ca="1">IFERROR(__xludf.DUMMYFUNCTION("GOOGLETRANSLATE(G212,""ar"",""en"")"),"Seville")</f>
        <v>Seville</v>
      </c>
      <c r="K212" s="5">
        <v>554997469</v>
      </c>
      <c r="L212" s="5"/>
      <c r="M212" s="5" t="str">
        <f ca="1">IFERROR(__xludf.DUMMYFUNCTION("GOOGLETRANSLATE(J212,""ar"",""en"")"),"#VALUE!")</f>
        <v>#VALUE!</v>
      </c>
      <c r="N212" s="6" t="s">
        <v>931</v>
      </c>
      <c r="O212" s="10" t="s">
        <v>932</v>
      </c>
    </row>
    <row r="213" spans="1:15" ht="20.100000000000001" customHeight="1" thickTop="1" thickBot="1">
      <c r="A213" s="1"/>
      <c r="B213" s="22">
        <v>212</v>
      </c>
      <c r="C213" s="22" t="s">
        <v>933</v>
      </c>
      <c r="D213" s="22" t="s">
        <v>13</v>
      </c>
      <c r="E213" s="23" t="s">
        <v>934</v>
      </c>
      <c r="F213" s="22" t="str">
        <f ca="1">IFERROR(__xludf.DUMMYFUNCTION("GOOGLETRANSLATE(E213,""ar"",""en"")"),"Tawq Al Khayal Supplies")</f>
        <v>Tawq Al Khayal Supplies</v>
      </c>
      <c r="G213" s="22" t="s">
        <v>3700</v>
      </c>
      <c r="H213" s="24" t="s">
        <v>3589</v>
      </c>
      <c r="I213" s="23" t="s">
        <v>813</v>
      </c>
      <c r="J213" s="5" t="str">
        <f ca="1">IFERROR(__xludf.DUMMYFUNCTION("GOOGLETRANSLATE(G213,""ar"",""en"")"),"road")</f>
        <v>road</v>
      </c>
      <c r="K213" s="11">
        <v>506814886</v>
      </c>
      <c r="L213" s="11"/>
      <c r="M213" s="5" t="str">
        <f ca="1">IFERROR(__xludf.DUMMYFUNCTION("GOOGLETRANSLATE(J213,""ar"",""en"")"),"#VALUE!")</f>
        <v>#VALUE!</v>
      </c>
      <c r="N213" s="12" t="s">
        <v>935</v>
      </c>
      <c r="O213" s="10" t="s">
        <v>936</v>
      </c>
    </row>
    <row r="214" spans="1:15" ht="20.100000000000001" customHeight="1" thickTop="1" thickBot="1">
      <c r="A214" s="1"/>
      <c r="B214" s="22">
        <v>213</v>
      </c>
      <c r="C214" s="22" t="s">
        <v>937</v>
      </c>
      <c r="D214" s="22" t="s">
        <v>13</v>
      </c>
      <c r="E214" s="22" t="s">
        <v>3617</v>
      </c>
      <c r="F214" s="22" t="str">
        <f ca="1">IFERROR(__xludf.DUMMYFUNCTION("GOOGLETRANSLATE(E214,""ar"",""en"")"),"#VALUE!")</f>
        <v>#VALUE!</v>
      </c>
      <c r="G214" s="22" t="s">
        <v>3700</v>
      </c>
      <c r="H214" s="24" t="s">
        <v>3589</v>
      </c>
      <c r="I214" s="22" t="s">
        <v>813</v>
      </c>
      <c r="J214" s="5" t="str">
        <f ca="1">IFERROR(__xludf.DUMMYFUNCTION("GOOGLETRANSLATE(G214,""ar"",""en"")"),"Dhahran Road")</f>
        <v>Dhahran Road</v>
      </c>
      <c r="K214" s="5">
        <v>572882169</v>
      </c>
      <c r="L214" s="5"/>
      <c r="M214" s="5" t="str">
        <f ca="1">IFERROR(__xludf.DUMMYFUNCTION("GOOGLETRANSLATE(J214,""ar"",""en"")"),"#VALUE!")</f>
        <v>#VALUE!</v>
      </c>
      <c r="N214" s="6" t="s">
        <v>938</v>
      </c>
      <c r="O214" s="10" t="s">
        <v>939</v>
      </c>
    </row>
    <row r="215" spans="1:15" ht="20.100000000000001" customHeight="1" thickTop="1" thickBot="1">
      <c r="A215" s="1"/>
      <c r="B215" s="22">
        <v>214</v>
      </c>
      <c r="C215" s="22" t="s">
        <v>940</v>
      </c>
      <c r="D215" s="22" t="s">
        <v>13</v>
      </c>
      <c r="E215" s="23" t="s">
        <v>3618</v>
      </c>
      <c r="F215" s="22" t="str">
        <f ca="1">IFERROR(__xludf.DUMMYFUNCTION("GOOGLETRANSLATE(E215,""ar"",""en"")"),"#VALUE!")</f>
        <v>#VALUE!</v>
      </c>
      <c r="G215" s="22" t="s">
        <v>3582</v>
      </c>
      <c r="H215" s="24" t="s">
        <v>3589</v>
      </c>
      <c r="I215" s="23" t="s">
        <v>3621</v>
      </c>
      <c r="J215" s="5" t="str">
        <f ca="1">IFERROR(__xludf.DUMMYFUNCTION("GOOGLETRANSLATE(G215,""ar"",""en"")"),"#VALUE!")</f>
        <v>#VALUE!</v>
      </c>
      <c r="K215" s="11"/>
      <c r="L215" s="11"/>
      <c r="M215" s="5" t="str">
        <f ca="1">IFERROR(__xludf.DUMMYFUNCTION("GOOGLETRANSLATE(J215,""ar"",""en"")"),"#VALUE!")</f>
        <v>#VALUE!</v>
      </c>
      <c r="N215" s="12" t="s">
        <v>941</v>
      </c>
      <c r="O215" s="10" t="s">
        <v>942</v>
      </c>
    </row>
    <row r="216" spans="1:15" ht="20.100000000000001" customHeight="1" thickTop="1" thickBot="1">
      <c r="A216" s="1"/>
      <c r="B216" s="22">
        <v>215</v>
      </c>
      <c r="C216" s="22" t="s">
        <v>943</v>
      </c>
      <c r="D216" s="22" t="s">
        <v>13</v>
      </c>
      <c r="E216" s="22" t="s">
        <v>2528</v>
      </c>
      <c r="F216" s="22" t="str">
        <f ca="1">IFERROR(__xludf.DUMMYFUNCTION("GOOGLETRANSLATE(E216,""ar"",""en"")"),"#VALUE!")</f>
        <v>#VALUE!</v>
      </c>
      <c r="G216" s="22" t="s">
        <v>3582</v>
      </c>
      <c r="H216" s="24" t="s">
        <v>3589</v>
      </c>
      <c r="I216" s="22" t="s">
        <v>3621</v>
      </c>
      <c r="J216" s="5" t="str">
        <f ca="1">IFERROR(__xludf.DUMMYFUNCTION("GOOGLETRANSLATE(G216,""ar"",""en"")"),"Dhahran-Jubail Road")</f>
        <v>Dhahran-Jubail Road</v>
      </c>
      <c r="K216" s="5">
        <v>510156919</v>
      </c>
      <c r="L216" s="5"/>
      <c r="M216" s="5" t="str">
        <f ca="1">IFERROR(__xludf.DUMMYFUNCTION("GOOGLETRANSLATE(J216,""ar"",""en"")"),"#VALUE!")</f>
        <v>#VALUE!</v>
      </c>
      <c r="N216" s="6" t="s">
        <v>944</v>
      </c>
      <c r="O216" s="10" t="s">
        <v>945</v>
      </c>
    </row>
    <row r="217" spans="1:15" ht="20.100000000000001" customHeight="1" thickTop="1" thickBot="1">
      <c r="A217" s="1"/>
      <c r="B217" s="22">
        <v>216</v>
      </c>
      <c r="C217" s="22" t="s">
        <v>946</v>
      </c>
      <c r="D217" s="22" t="s">
        <v>13</v>
      </c>
      <c r="E217" s="23" t="s">
        <v>947</v>
      </c>
      <c r="F217" s="22" t="str">
        <f ca="1">IFERROR(__xludf.DUMMYFUNCTION("GOOGLETRANSLATE(E217,""ar"",""en"")"),"Al Hazm Intersection Grocery")</f>
        <v>Al Hazm Intersection Grocery</v>
      </c>
      <c r="G217" s="22" t="s">
        <v>3582</v>
      </c>
      <c r="H217" s="24" t="s">
        <v>3590</v>
      </c>
      <c r="I217" s="23" t="s">
        <v>3620</v>
      </c>
      <c r="J217" s="5" t="str">
        <f ca="1">IFERROR(__xludf.DUMMYFUNCTION("GOOGLETRANSLATE(G217,""ar"",""en"")"),"The bundle")</f>
        <v>The bundle</v>
      </c>
      <c r="K217" s="11">
        <v>500004531</v>
      </c>
      <c r="L217" s="11"/>
      <c r="M217" s="5" t="str">
        <f ca="1">IFERROR(__xludf.DUMMYFUNCTION("GOOGLETRANSLATE(J217,""ar"",""en"")"),"#VALUE!")</f>
        <v>#VALUE!</v>
      </c>
      <c r="N217" s="12" t="s">
        <v>948</v>
      </c>
      <c r="O217" s="10" t="s">
        <v>949</v>
      </c>
    </row>
    <row r="218" spans="1:15" ht="20.100000000000001" customHeight="1" thickTop="1" thickBot="1">
      <c r="A218" s="1"/>
      <c r="B218" s="22">
        <v>217</v>
      </c>
      <c r="C218" s="22" t="s">
        <v>950</v>
      </c>
      <c r="D218" s="22" t="s">
        <v>13</v>
      </c>
      <c r="E218" s="22" t="s">
        <v>951</v>
      </c>
      <c r="F218" s="22" t="str">
        <f ca="1">IFERROR(__xludf.DUMMYFUNCTION("GOOGLETRANSLATE(E218,""ar"",""en"")"),"Family Garden Discounts Company")</f>
        <v>Family Garden Discounts Company</v>
      </c>
      <c r="G218" s="22" t="s">
        <v>3582</v>
      </c>
      <c r="H218" s="24" t="s">
        <v>3590</v>
      </c>
      <c r="I218" s="22" t="s">
        <v>3620</v>
      </c>
      <c r="J218" s="5" t="str">
        <f ca="1">IFERROR(__xludf.DUMMYFUNCTION("GOOGLETRANSLATE(G218,""ar"",""en"")"),"The bundle")</f>
        <v>The bundle</v>
      </c>
      <c r="K218" s="5">
        <v>531399921</v>
      </c>
      <c r="L218" s="5" t="s">
        <v>952</v>
      </c>
      <c r="M218" s="5" t="str">
        <f ca="1">IFERROR(__xludf.DUMMYFUNCTION("GOOGLETRANSLATE(J218,""ar"",""en"")"),"Abu Hamza")</f>
        <v>Abu Hamza</v>
      </c>
      <c r="N218" s="6" t="s">
        <v>953</v>
      </c>
      <c r="O218" s="10" t="s">
        <v>954</v>
      </c>
    </row>
    <row r="219" spans="1:15" ht="20.100000000000001" customHeight="1" thickTop="1" thickBot="1">
      <c r="A219" s="1"/>
      <c r="B219" s="22">
        <v>218</v>
      </c>
      <c r="C219" s="22" t="s">
        <v>955</v>
      </c>
      <c r="D219" s="22" t="s">
        <v>13</v>
      </c>
      <c r="E219" s="23" t="s">
        <v>956</v>
      </c>
      <c r="F219" s="22" t="str">
        <f ca="1">IFERROR(__xludf.DUMMYFUNCTION("GOOGLETRANSLATE(E219,""ar"",""en"")"),"Asad Al Khair Supplies")</f>
        <v>Asad Al Khair Supplies</v>
      </c>
      <c r="G219" s="22" t="s">
        <v>3700</v>
      </c>
      <c r="H219" s="24" t="s">
        <v>3590</v>
      </c>
      <c r="I219" s="23" t="s">
        <v>3607</v>
      </c>
      <c r="J219" s="5" t="str">
        <f ca="1">IFERROR(__xludf.DUMMYFUNCTION("GOOGLETRANSLATE(G219,""ar"",""en"")"),"The bundle")</f>
        <v>The bundle</v>
      </c>
      <c r="K219" s="11">
        <v>572432289</v>
      </c>
      <c r="L219" s="11"/>
      <c r="M219" s="5" t="str">
        <f ca="1">IFERROR(__xludf.DUMMYFUNCTION("GOOGLETRANSLATE(J219,""ar"",""en"")"),"#VALUE!")</f>
        <v>#VALUE!</v>
      </c>
      <c r="N219" s="12" t="s">
        <v>957</v>
      </c>
      <c r="O219" s="10" t="s">
        <v>958</v>
      </c>
    </row>
    <row r="220" spans="1:15" ht="20.100000000000001" customHeight="1" thickTop="1" thickBot="1">
      <c r="A220" s="1"/>
      <c r="B220" s="22">
        <v>219</v>
      </c>
      <c r="C220" s="22" t="s">
        <v>959</v>
      </c>
      <c r="D220" s="22" t="s">
        <v>13</v>
      </c>
      <c r="E220" s="22" t="s">
        <v>960</v>
      </c>
      <c r="F220" s="22" t="str">
        <f ca="1">IFERROR(__xludf.DUMMYFUNCTION("GOOGLETRANSLATE(E220,""ar"",""en"")"),"Marketing Source Supplies")</f>
        <v>Marketing Source Supplies</v>
      </c>
      <c r="G220" s="22" t="s">
        <v>3700</v>
      </c>
      <c r="H220" s="24" t="s">
        <v>3590</v>
      </c>
      <c r="I220" s="22" t="s">
        <v>3607</v>
      </c>
      <c r="J220" s="5" t="str">
        <f ca="1">IFERROR(__xludf.DUMMYFUNCTION("GOOGLETRANSLATE(G220,""ar"",""en"")"),"The bundle")</f>
        <v>The bundle</v>
      </c>
      <c r="K220" s="5">
        <v>536621332</v>
      </c>
      <c r="L220" s="11"/>
      <c r="M220" s="5" t="str">
        <f ca="1">IFERROR(__xludf.DUMMYFUNCTION("GOOGLETRANSLATE(J220,""ar"",""en"")"),"#VALUE!")</f>
        <v>#VALUE!</v>
      </c>
      <c r="N220" s="6" t="s">
        <v>961</v>
      </c>
      <c r="O220" s="10" t="s">
        <v>962</v>
      </c>
    </row>
    <row r="221" spans="1:15" ht="20.100000000000001" customHeight="1" thickTop="1" thickBot="1">
      <c r="A221" s="1"/>
      <c r="B221" s="22">
        <v>220</v>
      </c>
      <c r="C221" s="22" t="s">
        <v>963</v>
      </c>
      <c r="D221" s="22" t="s">
        <v>13</v>
      </c>
      <c r="E221" s="23" t="s">
        <v>3619</v>
      </c>
      <c r="F221" s="22" t="str">
        <f ca="1">IFERROR(__xludf.DUMMYFUNCTION("GOOGLETRANSLATE(E221,""ar"",""en"")"),"Wafad will get his number")</f>
        <v>Wafad will get his number</v>
      </c>
      <c r="G221" s="22" t="s">
        <v>3582</v>
      </c>
      <c r="H221" s="24" t="s">
        <v>3590</v>
      </c>
      <c r="I221" s="23" t="s">
        <v>3620</v>
      </c>
      <c r="J221" s="5" t="str">
        <f ca="1">IFERROR(__xludf.DUMMYFUNCTION("GOOGLETRANSLATE(G221,""ar"",""en"")"),"#VALUE!")</f>
        <v>#VALUE!</v>
      </c>
      <c r="K221" s="11"/>
      <c r="L221" s="14"/>
      <c r="M221" s="5" t="str">
        <f ca="1">IFERROR(__xludf.DUMMYFUNCTION("GOOGLETRANSLATE(J221,""ar"",""en"")"),"#VALUE!")</f>
        <v>#VALUE!</v>
      </c>
      <c r="N221" s="12" t="s">
        <v>964</v>
      </c>
      <c r="O221" s="10" t="s">
        <v>965</v>
      </c>
    </row>
    <row r="222" spans="1:15" ht="20.100000000000001" customHeight="1" thickTop="1" thickBot="1">
      <c r="A222" s="1"/>
      <c r="B222" s="22">
        <v>221</v>
      </c>
      <c r="C222" s="22" t="s">
        <v>966</v>
      </c>
      <c r="D222" s="22" t="s">
        <v>13</v>
      </c>
      <c r="E222" s="22" t="s">
        <v>967</v>
      </c>
      <c r="F222" s="22" t="str">
        <f ca="1">IFERROR(__xludf.DUMMYFUNCTION("GOOGLETRANSLATE(E222,""ar"",""en"")"),"Ashwaq Supplies")</f>
        <v>Ashwaq Supplies</v>
      </c>
      <c r="G222" s="22" t="s">
        <v>3582</v>
      </c>
      <c r="H222" s="24" t="s">
        <v>3590</v>
      </c>
      <c r="I222" s="22" t="s">
        <v>3620</v>
      </c>
      <c r="J222" s="5" t="str">
        <f ca="1">IFERROR(__xludf.DUMMYFUNCTION("GOOGLETRANSLATE(G222,""ar"",""en"")"),"The bundle")</f>
        <v>The bundle</v>
      </c>
      <c r="K222" s="5"/>
      <c r="L222" s="5"/>
      <c r="M222" s="5" t="str">
        <f ca="1">IFERROR(__xludf.DUMMYFUNCTION("GOOGLETRANSLATE(J222,""ar"",""en"")"),"#VALUE!")</f>
        <v>#VALUE!</v>
      </c>
      <c r="N222" s="6" t="s">
        <v>968</v>
      </c>
      <c r="O222" s="10" t="s">
        <v>969</v>
      </c>
    </row>
    <row r="223" spans="1:15" ht="20.100000000000001" customHeight="1" thickTop="1" thickBot="1">
      <c r="A223" s="1"/>
      <c r="B223" s="22">
        <v>222</v>
      </c>
      <c r="C223" s="22" t="s">
        <v>970</v>
      </c>
      <c r="D223" s="22" t="s">
        <v>13</v>
      </c>
      <c r="E223" s="23" t="s">
        <v>971</v>
      </c>
      <c r="F223" s="22" t="str">
        <f ca="1">IFERROR(__xludf.DUMMYFUNCTION("GOOGLETRANSLATE(E223,""ar"",""en"")"),"Redback")</f>
        <v>Redback</v>
      </c>
      <c r="G223" s="22" t="s">
        <v>3582</v>
      </c>
      <c r="H223" s="24" t="s">
        <v>3590</v>
      </c>
      <c r="I223" s="23" t="s">
        <v>3620</v>
      </c>
      <c r="J223" s="5" t="str">
        <f ca="1">IFERROR(__xludf.DUMMYFUNCTION("GOOGLETRANSLATE(G223,""ar"",""en"")"),"The bundle")</f>
        <v>The bundle</v>
      </c>
      <c r="K223" s="11">
        <v>573723331</v>
      </c>
      <c r="L223" s="11"/>
      <c r="M223" s="5" t="str">
        <f ca="1">IFERROR(__xludf.DUMMYFUNCTION("GOOGLETRANSLATE(J223,""ar"",""en"")"),"#VALUE!")</f>
        <v>#VALUE!</v>
      </c>
      <c r="N223" s="12" t="s">
        <v>972</v>
      </c>
      <c r="O223" s="10" t="s">
        <v>973</v>
      </c>
    </row>
    <row r="224" spans="1:15" ht="20.100000000000001" customHeight="1" thickTop="1" thickBot="1">
      <c r="A224" s="1"/>
      <c r="B224" s="22">
        <v>223</v>
      </c>
      <c r="C224" s="22" t="s">
        <v>974</v>
      </c>
      <c r="D224" s="22" t="s">
        <v>13</v>
      </c>
      <c r="E224" s="22" t="s">
        <v>975</v>
      </c>
      <c r="F224" s="22" t="str">
        <f ca="1">IFERROR(__xludf.DUMMYFUNCTION("GOOGLETRANSLATE(E224,""ar"",""en"")"),"Arab Winds Supplies")</f>
        <v>Arab Winds Supplies</v>
      </c>
      <c r="G224" s="22" t="s">
        <v>3582</v>
      </c>
      <c r="H224" s="24" t="s">
        <v>3590</v>
      </c>
      <c r="I224" s="22" t="s">
        <v>3620</v>
      </c>
      <c r="J224" s="5" t="str">
        <f ca="1">IFERROR(__xludf.DUMMYFUNCTION("GOOGLETRANSLATE(G224,""ar"",""en"")"),"The bundle")</f>
        <v>The bundle</v>
      </c>
      <c r="K224" s="5">
        <v>557864771</v>
      </c>
      <c r="L224" s="5" t="s">
        <v>976</v>
      </c>
      <c r="M224" s="5" t="str">
        <f ca="1">IFERROR(__xludf.DUMMYFUNCTION("GOOGLETRANSLATE(J224,""ar"",""en"")"),"Mashal")</f>
        <v>Mashal</v>
      </c>
      <c r="N224" s="6" t="s">
        <v>977</v>
      </c>
      <c r="O224" s="10" t="s">
        <v>978</v>
      </c>
    </row>
    <row r="225" spans="1:15" ht="20.100000000000001" customHeight="1" thickTop="1" thickBot="1">
      <c r="A225" s="1"/>
      <c r="B225" s="22">
        <v>224</v>
      </c>
      <c r="C225" s="22" t="s">
        <v>979</v>
      </c>
      <c r="D225" s="22" t="s">
        <v>13</v>
      </c>
      <c r="E225" s="23" t="s">
        <v>980</v>
      </c>
      <c r="F225" s="22" t="str">
        <f ca="1">IFERROR(__xludf.DUMMYFUNCTION("GOOGLETRANSLATE(E225,""ar"",""en"")"),"Zadi Arab Markets")</f>
        <v>Zadi Arab Markets</v>
      </c>
      <c r="G225" s="22" t="s">
        <v>3582</v>
      </c>
      <c r="H225" s="24" t="s">
        <v>3590</v>
      </c>
      <c r="I225" s="23" t="s">
        <v>3620</v>
      </c>
      <c r="J225" s="5" t="str">
        <f ca="1">IFERROR(__xludf.DUMMYFUNCTION("GOOGLETRANSLATE(G225,""ar"",""en"")"),"The bundle")</f>
        <v>The bundle</v>
      </c>
      <c r="K225" s="11">
        <v>532155908</v>
      </c>
      <c r="L225" s="11"/>
      <c r="M225" s="5" t="str">
        <f ca="1">IFERROR(__xludf.DUMMYFUNCTION("GOOGLETRANSLATE(J225,""ar"",""en"")"),"#VALUE!")</f>
        <v>#VALUE!</v>
      </c>
      <c r="N225" s="12" t="s">
        <v>981</v>
      </c>
      <c r="O225" s="10" t="s">
        <v>982</v>
      </c>
    </row>
    <row r="226" spans="1:15" ht="20.100000000000001" customHeight="1" thickTop="1" thickBot="1">
      <c r="A226" s="1"/>
      <c r="B226" s="22">
        <v>225</v>
      </c>
      <c r="C226" s="22" t="s">
        <v>983</v>
      </c>
      <c r="D226" s="22" t="s">
        <v>13</v>
      </c>
      <c r="E226" s="22" t="s">
        <v>984</v>
      </c>
      <c r="F226" s="22" t="str">
        <f ca="1">IFERROR(__xludf.DUMMYFUNCTION("GOOGLETRANSLATE(E226,""ar"",""en"")"),"Najoum Al Hazm Foundation")</f>
        <v>Najoum Al Hazm Foundation</v>
      </c>
      <c r="G226" s="22" t="s">
        <v>3582</v>
      </c>
      <c r="H226" s="24" t="s">
        <v>3590</v>
      </c>
      <c r="I226" s="22" t="s">
        <v>3620</v>
      </c>
      <c r="J226" s="5" t="str">
        <f ca="1">IFERROR(__xludf.DUMMYFUNCTION("GOOGLETRANSLATE(G226,""ar"",""en"")"),"The bundle")</f>
        <v>The bundle</v>
      </c>
      <c r="K226" s="5">
        <v>596322183</v>
      </c>
      <c r="L226" s="5"/>
      <c r="M226" s="5" t="str">
        <f ca="1">IFERROR(__xludf.DUMMYFUNCTION("GOOGLETRANSLATE(J226,""ar"",""en"")"),"#VALUE!")</f>
        <v>#VALUE!</v>
      </c>
      <c r="N226" s="6" t="s">
        <v>985</v>
      </c>
      <c r="O226" s="10" t="s">
        <v>986</v>
      </c>
    </row>
    <row r="227" spans="1:15" ht="20.100000000000001" customHeight="1" thickTop="1" thickBot="1">
      <c r="A227" s="1"/>
      <c r="B227" s="22">
        <v>226</v>
      </c>
      <c r="C227" s="22" t="s">
        <v>987</v>
      </c>
      <c r="D227" s="22" t="s">
        <v>13</v>
      </c>
      <c r="E227" s="23" t="s">
        <v>671</v>
      </c>
      <c r="F227" s="22" t="str">
        <f ca="1">IFERROR(__xludf.DUMMYFUNCTION("GOOGLETRANSLATE(E227,""ar"",""en"")"),"Kayan Market")</f>
        <v>Kayan Market</v>
      </c>
      <c r="G227" s="22" t="s">
        <v>3582</v>
      </c>
      <c r="H227" s="24" t="s">
        <v>3590</v>
      </c>
      <c r="I227" s="23" t="s">
        <v>3621</v>
      </c>
      <c r="J227" s="5" t="str">
        <f ca="1">IFERROR(__xludf.DUMMYFUNCTION("GOOGLETRANSLATE(G227,""ar"",""en"")"),"Safwa")</f>
        <v>Safwa</v>
      </c>
      <c r="K227" s="11">
        <v>579134435</v>
      </c>
      <c r="L227" s="11"/>
      <c r="M227" s="5" t="str">
        <f ca="1">IFERROR(__xludf.DUMMYFUNCTION("GOOGLETRANSLATE(J227,""ar"",""en"")"),"#VALUE!")</f>
        <v>#VALUE!</v>
      </c>
      <c r="N227" s="12" t="s">
        <v>988</v>
      </c>
      <c r="O227" s="10" t="s">
        <v>989</v>
      </c>
    </row>
    <row r="228" spans="1:15" ht="20.100000000000001" customHeight="1" thickTop="1" thickBot="1">
      <c r="A228" s="1"/>
      <c r="B228" s="22">
        <v>227</v>
      </c>
      <c r="C228" s="22" t="s">
        <v>990</v>
      </c>
      <c r="D228" s="22" t="s">
        <v>13</v>
      </c>
      <c r="E228" s="22" t="s">
        <v>991</v>
      </c>
      <c r="F228" s="22" t="str">
        <f ca="1">IFERROR(__xludf.DUMMYFUNCTION("GOOGLETRANSLATE(E228,""ar"",""en"")"),"621 Markets Branch")</f>
        <v>621 Markets Branch</v>
      </c>
      <c r="G228" s="22" t="s">
        <v>3582</v>
      </c>
      <c r="H228" s="24" t="s">
        <v>3590</v>
      </c>
      <c r="I228" s="22" t="s">
        <v>3621</v>
      </c>
      <c r="J228" s="5" t="str">
        <f ca="1">IFERROR(__xludf.DUMMYFUNCTION("GOOGLETRANSLATE(G228,""ar"",""en"")"),"Safwa")</f>
        <v>Safwa</v>
      </c>
      <c r="K228" s="5"/>
      <c r="L228" s="5"/>
      <c r="M228" s="5" t="str">
        <f ca="1">IFERROR(__xludf.DUMMYFUNCTION("GOOGLETRANSLATE(J228,""ar"",""en"")"),"#VALUE!")</f>
        <v>#VALUE!</v>
      </c>
      <c r="N228" s="6" t="s">
        <v>992</v>
      </c>
      <c r="O228" s="10" t="s">
        <v>993</v>
      </c>
    </row>
    <row r="229" spans="1:15" ht="20.100000000000001" customHeight="1" thickTop="1" thickBot="1">
      <c r="A229" s="1"/>
      <c r="B229" s="22">
        <v>228</v>
      </c>
      <c r="C229" s="22" t="s">
        <v>994</v>
      </c>
      <c r="D229" s="22" t="s">
        <v>13</v>
      </c>
      <c r="E229" s="23" t="s">
        <v>995</v>
      </c>
      <c r="F229" s="22" t="str">
        <f ca="1">IFERROR(__xludf.DUMMYFUNCTION("GOOGLETRANSLATE(E229,""ar"",""en"")"),"Our International Company")</f>
        <v>Our International Company</v>
      </c>
      <c r="G229" s="22" t="s">
        <v>3582</v>
      </c>
      <c r="H229" s="24" t="s">
        <v>3590</v>
      </c>
      <c r="I229" s="23" t="s">
        <v>3621</v>
      </c>
      <c r="J229" s="5" t="str">
        <f ca="1">IFERROR(__xludf.DUMMYFUNCTION("GOOGLETRANSLATE(G229,""ar"",""en"")"),"Safwa")</f>
        <v>Safwa</v>
      </c>
      <c r="K229" s="11">
        <v>542470024</v>
      </c>
      <c r="L229" s="11"/>
      <c r="M229" s="5" t="str">
        <f ca="1">IFERROR(__xludf.DUMMYFUNCTION("GOOGLETRANSLATE(J229,""ar"",""en"")"),"#VALUE!")</f>
        <v>#VALUE!</v>
      </c>
      <c r="N229" s="12" t="s">
        <v>996</v>
      </c>
      <c r="O229" s="10" t="s">
        <v>997</v>
      </c>
    </row>
    <row r="230" spans="1:15" ht="20.100000000000001" customHeight="1" thickTop="1" thickBot="1">
      <c r="A230" s="1"/>
      <c r="B230" s="22">
        <v>229</v>
      </c>
      <c r="C230" s="22" t="s">
        <v>998</v>
      </c>
      <c r="D230" s="22" t="s">
        <v>13</v>
      </c>
      <c r="E230" s="22" t="s">
        <v>999</v>
      </c>
      <c r="F230" s="22" t="str">
        <f ca="1">IFERROR(__xludf.DUMMYFUNCTION("GOOGLETRANSLATE(E230,""ar"",""en"")"),"Small cart supplies")</f>
        <v>Small cart supplies</v>
      </c>
      <c r="G230" s="22" t="s">
        <v>3582</v>
      </c>
      <c r="H230" s="24" t="s">
        <v>3590</v>
      </c>
      <c r="I230" s="22" t="s">
        <v>3621</v>
      </c>
      <c r="J230" s="5" t="str">
        <f ca="1">IFERROR(__xludf.DUMMYFUNCTION("GOOGLETRANSLATE(G230,""ar"",""en"")"),"Safwa")</f>
        <v>Safwa</v>
      </c>
      <c r="K230" s="5"/>
      <c r="L230" s="5"/>
      <c r="M230" s="5" t="str">
        <f ca="1">IFERROR(__xludf.DUMMYFUNCTION("GOOGLETRANSLATE(J230,""ar"",""en"")"),"#VALUE!")</f>
        <v>#VALUE!</v>
      </c>
      <c r="N230" s="6" t="s">
        <v>1000</v>
      </c>
      <c r="O230" s="10" t="s">
        <v>1001</v>
      </c>
    </row>
    <row r="231" spans="1:15" ht="20.100000000000001" customHeight="1" thickTop="1" thickBot="1">
      <c r="A231" s="1"/>
      <c r="B231" s="22">
        <v>230</v>
      </c>
      <c r="C231" s="22" t="s">
        <v>1002</v>
      </c>
      <c r="D231" s="22" t="s">
        <v>13</v>
      </c>
      <c r="E231" s="23" t="s">
        <v>1003</v>
      </c>
      <c r="F231" s="22" t="str">
        <f ca="1">IFERROR(__xludf.DUMMYFUNCTION("GOOGLETRANSLATE(E231,""ar"",""en"")"),"Nahla Markets")</f>
        <v>Nahla Markets</v>
      </c>
      <c r="G231" s="22" t="s">
        <v>3582</v>
      </c>
      <c r="H231" s="24" t="s">
        <v>3590</v>
      </c>
      <c r="I231" s="23" t="s">
        <v>3621</v>
      </c>
      <c r="J231" s="5" t="str">
        <f ca="1">IFERROR(__xludf.DUMMYFUNCTION("GOOGLETRANSLATE(G231,""ar"",""en"")"),"Safwa")</f>
        <v>Safwa</v>
      </c>
      <c r="K231" s="11"/>
      <c r="L231" s="11"/>
      <c r="M231" s="5" t="str">
        <f ca="1">IFERROR(__xludf.DUMMYFUNCTION("GOOGLETRANSLATE(J231,""ar"",""en"")"),"#VALUE!")</f>
        <v>#VALUE!</v>
      </c>
      <c r="N231" s="12" t="s">
        <v>1004</v>
      </c>
      <c r="O231" s="10" t="s">
        <v>1005</v>
      </c>
    </row>
    <row r="232" spans="1:15" ht="20.100000000000001" customHeight="1" thickTop="1" thickBot="1">
      <c r="A232" s="1"/>
      <c r="B232" s="22">
        <v>231</v>
      </c>
      <c r="C232" s="22" t="s">
        <v>1006</v>
      </c>
      <c r="D232" s="22" t="s">
        <v>13</v>
      </c>
      <c r="E232" s="22" t="s">
        <v>1007</v>
      </c>
      <c r="F232" s="22" t="str">
        <f ca="1">IFERROR(__xludf.DUMMYFUNCTION("GOOGLETRANSLATE(E232,""ar"",""en"")"),"Shrouq Supplies")</f>
        <v>Shrouq Supplies</v>
      </c>
      <c r="G232" s="22" t="s">
        <v>3582</v>
      </c>
      <c r="H232" s="24" t="s">
        <v>3590</v>
      </c>
      <c r="I232" s="22" t="s">
        <v>3621</v>
      </c>
      <c r="J232" s="5" t="str">
        <f ca="1">IFERROR(__xludf.DUMMYFUNCTION("GOOGLETRANSLATE(G232,""ar"",""en"")"),"Safwa")</f>
        <v>Safwa</v>
      </c>
      <c r="K232" s="5">
        <v>542543755</v>
      </c>
      <c r="L232" s="5"/>
      <c r="M232" s="5" t="str">
        <f ca="1">IFERROR(__xludf.DUMMYFUNCTION("GOOGLETRANSLATE(J232,""ar"",""en"")"),"#VALUE!")</f>
        <v>#VALUE!</v>
      </c>
      <c r="N232" s="6" t="s">
        <v>1008</v>
      </c>
      <c r="O232" s="10" t="s">
        <v>1009</v>
      </c>
    </row>
    <row r="233" spans="1:15" ht="20.100000000000001" customHeight="1" thickTop="1" thickBot="1">
      <c r="A233" s="1"/>
      <c r="B233" s="22">
        <v>232</v>
      </c>
      <c r="C233" s="22" t="s">
        <v>1010</v>
      </c>
      <c r="D233" s="22" t="s">
        <v>13</v>
      </c>
      <c r="E233" s="23" t="s">
        <v>1011</v>
      </c>
      <c r="F233" s="22" t="str">
        <f ca="1">IFERROR(__xludf.DUMMYFUNCTION("GOOGLETRANSLATE(E233,""ar"",""en"")"),"And he can't give their number")</f>
        <v>And he can't give their number</v>
      </c>
      <c r="G233" s="22" t="s">
        <v>3582</v>
      </c>
      <c r="H233" s="24" t="s">
        <v>3590</v>
      </c>
      <c r="I233" s="23" t="s">
        <v>3621</v>
      </c>
      <c r="J233" s="5" t="str">
        <f ca="1">IFERROR(__xludf.DUMMYFUNCTION("GOOGLETRANSLATE(G233,""ar"",""en"")"),"#VALUE!")</f>
        <v>#VALUE!</v>
      </c>
      <c r="K233" s="11"/>
      <c r="L233" s="11"/>
      <c r="M233" s="5" t="str">
        <f ca="1">IFERROR(__xludf.DUMMYFUNCTION("GOOGLETRANSLATE(J233,""ar"",""en"")"),"#VALUE!")</f>
        <v>#VALUE!</v>
      </c>
      <c r="N233" s="12" t="s">
        <v>1012</v>
      </c>
      <c r="O233" s="10" t="s">
        <v>1013</v>
      </c>
    </row>
    <row r="234" spans="1:15" ht="20.100000000000001" customHeight="1" thickTop="1" thickBot="1">
      <c r="A234" s="1"/>
      <c r="B234" s="22">
        <v>233</v>
      </c>
      <c r="C234" s="22" t="s">
        <v>1014</v>
      </c>
      <c r="D234" s="22" t="s">
        <v>13</v>
      </c>
      <c r="E234" s="22" t="s">
        <v>1015</v>
      </c>
      <c r="F234" s="22" t="str">
        <f ca="1">IFERROR(__xludf.DUMMYFUNCTION("GOOGLETRANSLATE(E234,""ar"",""en"")"),"Mohammed Al-Sadiq Center")</f>
        <v>Mohammed Al-Sadiq Center</v>
      </c>
      <c r="G234" s="22" t="s">
        <v>3582</v>
      </c>
      <c r="H234" s="24" t="s">
        <v>3590</v>
      </c>
      <c r="I234" s="22" t="s">
        <v>3621</v>
      </c>
      <c r="J234" s="5" t="str">
        <f ca="1">IFERROR(__xludf.DUMMYFUNCTION("GOOGLETRANSLATE(G234,""ar"",""en"")"),"Safwa")</f>
        <v>Safwa</v>
      </c>
      <c r="K234" s="5">
        <v>506421289</v>
      </c>
      <c r="L234" s="5" t="s">
        <v>1016</v>
      </c>
      <c r="M234" s="5" t="str">
        <f ca="1">IFERROR(__xludf.DUMMYFUNCTION("GOOGLETRANSLATE(J234,""ar"",""en"")"),"Ahmed Al-Sadiq")</f>
        <v>Ahmed Al-Sadiq</v>
      </c>
      <c r="N234" s="6" t="s">
        <v>1017</v>
      </c>
      <c r="O234" s="10" t="s">
        <v>1018</v>
      </c>
    </row>
    <row r="235" spans="1:15" ht="20.100000000000001" customHeight="1" thickTop="1" thickBot="1">
      <c r="A235" s="1"/>
      <c r="B235" s="22">
        <v>234</v>
      </c>
      <c r="C235" s="22" t="s">
        <v>1019</v>
      </c>
      <c r="D235" s="22" t="s">
        <v>13</v>
      </c>
      <c r="E235" s="23" t="s">
        <v>1020</v>
      </c>
      <c r="F235" s="22" t="str">
        <f ca="1">IFERROR(__xludf.DUMMYFUNCTION("GOOGLETRANSLATE(E235,""ar"",""en"")"),"Baraka Cart Supplies")</f>
        <v>Baraka Cart Supplies</v>
      </c>
      <c r="G235" s="22" t="s">
        <v>3582</v>
      </c>
      <c r="H235" s="24" t="s">
        <v>3590</v>
      </c>
      <c r="I235" s="23" t="s">
        <v>3621</v>
      </c>
      <c r="J235" s="5" t="str">
        <f ca="1">IFERROR(__xludf.DUMMYFUNCTION("GOOGLETRANSLATE(G235,""ar"",""en"")"),"Safwa")</f>
        <v>Safwa</v>
      </c>
      <c r="K235" s="11">
        <v>566208915</v>
      </c>
      <c r="L235" s="11"/>
      <c r="M235" s="5" t="str">
        <f ca="1">IFERROR(__xludf.DUMMYFUNCTION("GOOGLETRANSLATE(J235,""ar"",""en"")"),"#VALUE!")</f>
        <v>#VALUE!</v>
      </c>
      <c r="N235" s="12" t="s">
        <v>1021</v>
      </c>
      <c r="O235" s="10" t="s">
        <v>1022</v>
      </c>
    </row>
    <row r="236" spans="1:15" ht="20.100000000000001" customHeight="1" thickTop="1" thickBot="1">
      <c r="A236" s="1"/>
      <c r="B236" s="22">
        <v>235</v>
      </c>
      <c r="C236" s="22" t="s">
        <v>1023</v>
      </c>
      <c r="D236" s="22" t="s">
        <v>13</v>
      </c>
      <c r="E236" s="22" t="s">
        <v>1024</v>
      </c>
      <c r="F236" s="22" t="str">
        <f ca="1">IFERROR(__xludf.DUMMYFUNCTION("GOOGLETRANSLATE(E236,""ar"",""en"")"),"West Farms Supplies")</f>
        <v>West Farms Supplies</v>
      </c>
      <c r="G236" s="22" t="s">
        <v>3582</v>
      </c>
      <c r="H236" s="24" t="s">
        <v>3590</v>
      </c>
      <c r="I236" s="22" t="s">
        <v>3621</v>
      </c>
      <c r="J236" s="5" t="str">
        <f ca="1">IFERROR(__xludf.DUMMYFUNCTION("GOOGLETRANSLATE(G236,""ar"",""en"")"),"Safwa")</f>
        <v>Safwa</v>
      </c>
      <c r="K236" s="5"/>
      <c r="L236" s="5"/>
      <c r="M236" s="5" t="str">
        <f ca="1">IFERROR(__xludf.DUMMYFUNCTION("GOOGLETRANSLATE(J236,""ar"",""en"")"),"#VALUE!")</f>
        <v>#VALUE!</v>
      </c>
      <c r="N236" s="6" t="s">
        <v>1025</v>
      </c>
      <c r="O236" s="10" t="s">
        <v>1026</v>
      </c>
    </row>
    <row r="237" spans="1:15" ht="20.100000000000001" customHeight="1" thickTop="1" thickBot="1">
      <c r="A237" s="1"/>
      <c r="B237" s="22">
        <v>236</v>
      </c>
      <c r="C237" s="22" t="s">
        <v>1027</v>
      </c>
      <c r="D237" s="22" t="s">
        <v>13</v>
      </c>
      <c r="E237" s="23" t="s">
        <v>1028</v>
      </c>
      <c r="F237" s="22" t="str">
        <f ca="1">IFERROR(__xludf.DUMMYFUNCTION("GOOGLETRANSLATE(E237,""ar"",""en"")"),"621 Markets")</f>
        <v>621 Markets</v>
      </c>
      <c r="G237" s="22" t="s">
        <v>3582</v>
      </c>
      <c r="H237" s="24" t="s">
        <v>3590</v>
      </c>
      <c r="I237" s="23" t="s">
        <v>3621</v>
      </c>
      <c r="J237" s="5" t="str">
        <f ca="1">IFERROR(__xludf.DUMMYFUNCTION("GOOGLETRANSLATE(G237,""ar"",""en"")"),"Safwa")</f>
        <v>Safwa</v>
      </c>
      <c r="K237" s="11">
        <v>537595935</v>
      </c>
      <c r="L237" s="11" t="s">
        <v>1029</v>
      </c>
      <c r="M237" s="5" t="str">
        <f ca="1">IFERROR(__xludf.DUMMYFUNCTION("GOOGLETRANSLATE(J237,""ar"",""en"")"),"Anis")</f>
        <v>Anis</v>
      </c>
      <c r="N237" s="12" t="s">
        <v>1030</v>
      </c>
      <c r="O237" s="10" t="s">
        <v>1031</v>
      </c>
    </row>
    <row r="238" spans="1:15" ht="20.100000000000001" customHeight="1" thickTop="1" thickBot="1">
      <c r="A238" s="1"/>
      <c r="B238" s="22">
        <v>237</v>
      </c>
      <c r="C238" s="22" t="s">
        <v>1032</v>
      </c>
      <c r="D238" s="22" t="s">
        <v>13</v>
      </c>
      <c r="E238" s="22" t="s">
        <v>1033</v>
      </c>
      <c r="F238" s="22" t="str">
        <f ca="1">IFERROR(__xludf.DUMMYFUNCTION("GOOGLETRANSLATE(E238,""ar"",""en"")"),"Good things")</f>
        <v>Good things</v>
      </c>
      <c r="G238" s="22" t="s">
        <v>3582</v>
      </c>
      <c r="H238" s="24" t="s">
        <v>3590</v>
      </c>
      <c r="I238" s="22" t="s">
        <v>3621</v>
      </c>
      <c r="J238" s="5" t="str">
        <f ca="1">IFERROR(__xludf.DUMMYFUNCTION("GOOGLETRANSLATE(G238,""ar"",""en"")"),"Safwa")</f>
        <v>Safwa</v>
      </c>
      <c r="K238" s="5">
        <v>543282719</v>
      </c>
      <c r="L238" s="5" t="s">
        <v>1034</v>
      </c>
      <c r="M238" s="5" t="str">
        <f ca="1">IFERROR(__xludf.DUMMYFUNCTION("GOOGLETRANSLATE(J238,""ar"",""en"")"),"Mohammed Khaled")</f>
        <v>Mohammed Khaled</v>
      </c>
      <c r="N238" s="6" t="s">
        <v>1035</v>
      </c>
      <c r="O238" s="10" t="s">
        <v>1036</v>
      </c>
    </row>
    <row r="239" spans="1:15" ht="20.100000000000001" customHeight="1" thickTop="1" thickBot="1">
      <c r="A239" s="1"/>
      <c r="B239" s="22">
        <v>238</v>
      </c>
      <c r="C239" s="22" t="s">
        <v>1037</v>
      </c>
      <c r="D239" s="22" t="s">
        <v>13</v>
      </c>
      <c r="E239" s="23" t="s">
        <v>1038</v>
      </c>
      <c r="F239" s="22" t="str">
        <f ca="1">IFERROR(__xludf.DUMMYFUNCTION("GOOGLETRANSLATE(E239,""ar"",""en"")"),"Harat Al-Afrah Supplies")</f>
        <v>Harat Al-Afrah Supplies</v>
      </c>
      <c r="G239" s="22" t="s">
        <v>3582</v>
      </c>
      <c r="H239" s="24" t="s">
        <v>3590</v>
      </c>
      <c r="I239" s="23" t="s">
        <v>3621</v>
      </c>
      <c r="J239" s="5" t="str">
        <f ca="1">IFERROR(__xludf.DUMMYFUNCTION("GOOGLETRANSLATE(G239,""ar"",""en"")"),"Safwa")</f>
        <v>Safwa</v>
      </c>
      <c r="K239" s="11"/>
      <c r="L239" s="11"/>
      <c r="M239" s="5" t="str">
        <f ca="1">IFERROR(__xludf.DUMMYFUNCTION("GOOGLETRANSLATE(J239,""ar"",""en"")"),"#VALUE!")</f>
        <v>#VALUE!</v>
      </c>
      <c r="N239" s="12" t="s">
        <v>1039</v>
      </c>
      <c r="O239" s="10" t="s">
        <v>1040</v>
      </c>
    </row>
    <row r="240" spans="1:15" ht="20.100000000000001" customHeight="1" thickTop="1" thickBot="1">
      <c r="A240" s="1"/>
      <c r="B240" s="22">
        <v>239</v>
      </c>
      <c r="C240" s="22" t="s">
        <v>1041</v>
      </c>
      <c r="D240" s="22" t="s">
        <v>13</v>
      </c>
      <c r="E240" s="22" t="s">
        <v>1042</v>
      </c>
      <c r="F240" s="22" t="str">
        <f ca="1">IFERROR(__xludf.DUMMYFUNCTION("GOOGLETRANSLATE(E240,""ar"",""en"")"),"Shurooq Al Jubail Supermarkets")</f>
        <v>Shurooq Al Jubail Supermarkets</v>
      </c>
      <c r="G240" s="22" t="s">
        <v>3582</v>
      </c>
      <c r="H240" s="24" t="s">
        <v>3590</v>
      </c>
      <c r="I240" s="22" t="s">
        <v>3621</v>
      </c>
      <c r="J240" s="5" t="str">
        <f ca="1">IFERROR(__xludf.DUMMYFUNCTION("GOOGLETRANSLATE(G240,""ar"",""en"")"),"Safwa")</f>
        <v>Safwa</v>
      </c>
      <c r="K240" s="5"/>
      <c r="L240" s="5"/>
      <c r="M240" s="5" t="str">
        <f ca="1">IFERROR(__xludf.DUMMYFUNCTION("GOOGLETRANSLATE(J240,""ar"",""en"")"),"#VALUE!")</f>
        <v>#VALUE!</v>
      </c>
      <c r="N240" s="6" t="s">
        <v>1043</v>
      </c>
      <c r="O240" s="10" t="s">
        <v>1044</v>
      </c>
    </row>
    <row r="241" spans="1:15" ht="20.100000000000001" customHeight="1" thickTop="1" thickBot="1">
      <c r="A241" s="1"/>
      <c r="B241" s="22">
        <v>240</v>
      </c>
      <c r="C241" s="22" t="s">
        <v>1045</v>
      </c>
      <c r="D241" s="22" t="s">
        <v>13</v>
      </c>
      <c r="E241" s="23" t="s">
        <v>1046</v>
      </c>
      <c r="F241" s="22" t="str">
        <f ca="1">IFERROR(__xludf.DUMMYFUNCTION("GOOGLETRANSLATE(E241,""ar"",""en"")"),"Zainab Ali Al-Labbad Grocery")</f>
        <v>Zainab Ali Al-Labbad Grocery</v>
      </c>
      <c r="G241" s="22" t="s">
        <v>3582</v>
      </c>
      <c r="H241" s="24" t="s">
        <v>3590</v>
      </c>
      <c r="I241" s="23" t="s">
        <v>3621</v>
      </c>
      <c r="J241" s="5" t="str">
        <f ca="1">IFERROR(__xludf.DUMMYFUNCTION("GOOGLETRANSLATE(G241,""ar"",""en"")"),"Safwa")</f>
        <v>Safwa</v>
      </c>
      <c r="K241" s="11">
        <v>537248591</v>
      </c>
      <c r="L241" s="11"/>
      <c r="M241" s="5" t="str">
        <f ca="1">IFERROR(__xludf.DUMMYFUNCTION("GOOGLETRANSLATE(J241,""ar"",""en"")"),"#VALUE!")</f>
        <v>#VALUE!</v>
      </c>
      <c r="N241" s="12" t="s">
        <v>1047</v>
      </c>
      <c r="O241" s="10" t="s">
        <v>1048</v>
      </c>
    </row>
    <row r="242" spans="1:15" ht="20.100000000000001" customHeight="1" thickTop="1" thickBot="1">
      <c r="A242" s="1"/>
      <c r="B242" s="22">
        <v>241</v>
      </c>
      <c r="C242" s="22" t="s">
        <v>1049</v>
      </c>
      <c r="D242" s="22" t="s">
        <v>13</v>
      </c>
      <c r="E242" s="22" t="s">
        <v>1050</v>
      </c>
      <c r="F242" s="22" t="str">
        <f ca="1">IFERROR(__xludf.DUMMYFUNCTION("GOOGLETRANSLATE(E242,""ar"",""en"")"),"Secrets of Nutrition Grocery")</f>
        <v>Secrets of Nutrition Grocery</v>
      </c>
      <c r="G242" s="22" t="s">
        <v>3582</v>
      </c>
      <c r="H242" s="24" t="s">
        <v>3590</v>
      </c>
      <c r="I242" s="22" t="s">
        <v>3621</v>
      </c>
      <c r="J242" s="5" t="str">
        <f ca="1">IFERROR(__xludf.DUMMYFUNCTION("GOOGLETRANSLATE(G242,""ar"",""en"")"),"Safwa")</f>
        <v>Safwa</v>
      </c>
      <c r="K242" s="5">
        <v>597453238</v>
      </c>
      <c r="L242" s="5" t="s">
        <v>1051</v>
      </c>
      <c r="M242" s="5" t="str">
        <f ca="1">IFERROR(__xludf.DUMMYFUNCTION("GOOGLETRANSLATE(J242,""ar"",""en"")"),"What is with you")</f>
        <v>What is with you</v>
      </c>
      <c r="N242" s="6" t="s">
        <v>1052</v>
      </c>
      <c r="O242" s="10" t="s">
        <v>1053</v>
      </c>
    </row>
    <row r="243" spans="1:15" ht="20.100000000000001" customHeight="1" thickTop="1" thickBot="1">
      <c r="A243" s="1"/>
      <c r="B243" s="22">
        <v>242</v>
      </c>
      <c r="C243" s="22" t="s">
        <v>1054</v>
      </c>
      <c r="D243" s="22" t="s">
        <v>13</v>
      </c>
      <c r="E243" s="23" t="s">
        <v>1055</v>
      </c>
      <c r="F243" s="22" t="str">
        <f ca="1">IFERROR(__xludf.DUMMYFUNCTION("GOOGLETRANSLATE(E243,""ar"",""en"")"),"Al-Zahraa Supplies")</f>
        <v>Al-Zahraa Supplies</v>
      </c>
      <c r="G243" s="22" t="s">
        <v>3582</v>
      </c>
      <c r="H243" s="24" t="s">
        <v>3590</v>
      </c>
      <c r="I243" s="23" t="s">
        <v>3621</v>
      </c>
      <c r="J243" s="5" t="str">
        <f ca="1">IFERROR(__xludf.DUMMYFUNCTION("GOOGLETRANSLATE(G243,""ar"",""en"")"),"Safwa")</f>
        <v>Safwa</v>
      </c>
      <c r="K243" s="11">
        <v>578166719</v>
      </c>
      <c r="L243" s="11"/>
      <c r="M243" s="5" t="str">
        <f ca="1">IFERROR(__xludf.DUMMYFUNCTION("GOOGLETRANSLATE(J243,""ar"",""en"")"),"#VALUE!")</f>
        <v>#VALUE!</v>
      </c>
      <c r="N243" s="12" t="s">
        <v>1056</v>
      </c>
      <c r="O243" s="10" t="s">
        <v>1057</v>
      </c>
    </row>
    <row r="244" spans="1:15" ht="20.100000000000001" customHeight="1" thickTop="1" thickBot="1">
      <c r="A244" s="1"/>
      <c r="B244" s="22">
        <v>243</v>
      </c>
      <c r="C244" s="22" t="s">
        <v>1058</v>
      </c>
      <c r="D244" s="22" t="s">
        <v>13</v>
      </c>
      <c r="E244" s="22" t="s">
        <v>1059</v>
      </c>
      <c r="F244" s="22" t="str">
        <f ca="1">IFERROR(__xludf.DUMMYFUNCTION("GOOGLETRANSLATE(E244,""ar"",""en"")"),"Mulla Supplies")</f>
        <v>Mulla Supplies</v>
      </c>
      <c r="G244" s="22" t="s">
        <v>3582</v>
      </c>
      <c r="H244" s="24" t="s">
        <v>3590</v>
      </c>
      <c r="I244" s="22" t="s">
        <v>3621</v>
      </c>
      <c r="J244" s="5" t="str">
        <f ca="1">IFERROR(__xludf.DUMMYFUNCTION("GOOGLETRANSLATE(G244,""ar"",""en"")"),"Safwa")</f>
        <v>Safwa</v>
      </c>
      <c r="K244" s="5">
        <v>595558689</v>
      </c>
      <c r="L244" s="5"/>
      <c r="M244" s="5" t="str">
        <f ca="1">IFERROR(__xludf.DUMMYFUNCTION("GOOGLETRANSLATE(J244,""ar"",""en"")"),"#VALUE!")</f>
        <v>#VALUE!</v>
      </c>
      <c r="N244" s="6" t="s">
        <v>1060</v>
      </c>
      <c r="O244" s="10" t="s">
        <v>1061</v>
      </c>
    </row>
    <row r="245" spans="1:15" ht="20.100000000000001" customHeight="1" thickTop="1" thickBot="1">
      <c r="A245" s="1"/>
      <c r="B245" s="22">
        <v>244</v>
      </c>
      <c r="C245" s="22" t="s">
        <v>1062</v>
      </c>
      <c r="D245" s="22" t="s">
        <v>13</v>
      </c>
      <c r="E245" s="23" t="s">
        <v>1063</v>
      </c>
      <c r="F245" s="22" t="str">
        <f ca="1">IFERROR(__xludf.DUMMYFUNCTION("GOOGLETRANSLATE(E245,""ar"",""en"")"),"Hashim bin Noor bin Hashim Al Mahdi Grocery")</f>
        <v>Hashim bin Noor bin Hashim Al Mahdi Grocery</v>
      </c>
      <c r="G245" s="22" t="s">
        <v>3582</v>
      </c>
      <c r="H245" s="24" t="s">
        <v>3590</v>
      </c>
      <c r="I245" s="23" t="s">
        <v>3621</v>
      </c>
      <c r="J245" s="5" t="str">
        <f ca="1">IFERROR(__xludf.DUMMYFUNCTION("GOOGLETRANSLATE(G245,""ar"",""en"")"),"Safwa")</f>
        <v>Safwa</v>
      </c>
      <c r="K245" s="11">
        <v>504941592</v>
      </c>
      <c r="L245" s="11" t="s">
        <v>1064</v>
      </c>
      <c r="M245" s="5" t="str">
        <f ca="1">IFERROR(__xludf.DUMMYFUNCTION("GOOGLETRANSLATE(J245,""ar"",""en"")"),"Hashem Al Mahdi")</f>
        <v>Hashem Al Mahdi</v>
      </c>
      <c r="N245" s="12" t="s">
        <v>1065</v>
      </c>
      <c r="O245" s="10" t="s">
        <v>1066</v>
      </c>
    </row>
    <row r="246" spans="1:15" ht="20.100000000000001" customHeight="1" thickTop="1" thickBot="1">
      <c r="A246" s="1"/>
      <c r="B246" s="22">
        <v>245</v>
      </c>
      <c r="C246" s="22" t="s">
        <v>1067</v>
      </c>
      <c r="D246" s="22" t="s">
        <v>13</v>
      </c>
      <c r="E246" s="22" t="s">
        <v>1068</v>
      </c>
      <c r="F246" s="22" t="str">
        <f ca="1">IFERROR(__xludf.DUMMYFUNCTION("GOOGLETRANSLATE(E246,""ar"",""en"")"),"Sidra Al-Nahla Foundation")</f>
        <v>Sidra Al-Nahla Foundation</v>
      </c>
      <c r="G246" s="22" t="s">
        <v>3582</v>
      </c>
      <c r="H246" s="24" t="s">
        <v>3590</v>
      </c>
      <c r="I246" s="22" t="s">
        <v>3621</v>
      </c>
      <c r="J246" s="5" t="str">
        <f ca="1">IFERROR(__xludf.DUMMYFUNCTION("GOOGLETRANSLATE(G246,""ar"",""en"")"),"Safwa")</f>
        <v>Safwa</v>
      </c>
      <c r="K246" s="5">
        <v>507041330</v>
      </c>
      <c r="L246" s="5"/>
      <c r="M246" s="5" t="str">
        <f ca="1">IFERROR(__xludf.DUMMYFUNCTION("GOOGLETRANSLATE(J246,""ar"",""en"")"),"#VALUE!")</f>
        <v>#VALUE!</v>
      </c>
      <c r="N246" s="6" t="s">
        <v>1069</v>
      </c>
      <c r="O246" s="10" t="s">
        <v>1070</v>
      </c>
    </row>
    <row r="247" spans="1:15" ht="20.100000000000001" customHeight="1" thickTop="1" thickBot="1">
      <c r="A247" s="1"/>
      <c r="B247" s="22">
        <v>246</v>
      </c>
      <c r="C247" s="22" t="s">
        <v>1071</v>
      </c>
      <c r="D247" s="22" t="s">
        <v>13</v>
      </c>
      <c r="E247" s="23" t="s">
        <v>1072</v>
      </c>
      <c r="F247" s="22" t="str">
        <f ca="1">IFERROR(__xludf.DUMMYFUNCTION("GOOGLETRANSLATE(E247,""ar"",""en"")"),"Nadia's Grocery")</f>
        <v>Nadia's Grocery</v>
      </c>
      <c r="G247" s="22" t="s">
        <v>3582</v>
      </c>
      <c r="H247" s="24" t="s">
        <v>3590</v>
      </c>
      <c r="I247" s="23" t="s">
        <v>3621</v>
      </c>
      <c r="J247" s="5" t="str">
        <f ca="1">IFERROR(__xludf.DUMMYFUNCTION("GOOGLETRANSLATE(G247,""ar"",""en"")"),"Safwa")</f>
        <v>Safwa</v>
      </c>
      <c r="K247" s="11">
        <v>535043909</v>
      </c>
      <c r="L247" s="11"/>
      <c r="M247" s="5" t="str">
        <f ca="1">IFERROR(__xludf.DUMMYFUNCTION("GOOGLETRANSLATE(J247,""ar"",""en"")"),"#VALUE!")</f>
        <v>#VALUE!</v>
      </c>
      <c r="N247" s="12" t="s">
        <v>1073</v>
      </c>
      <c r="O247" s="10" t="s">
        <v>1074</v>
      </c>
    </row>
    <row r="248" spans="1:15" ht="20.100000000000001" customHeight="1" thickTop="1" thickBot="1">
      <c r="A248" s="1"/>
      <c r="B248" s="22">
        <v>247</v>
      </c>
      <c r="C248" s="22" t="s">
        <v>1075</v>
      </c>
      <c r="D248" s="22" t="s">
        <v>13</v>
      </c>
      <c r="E248" s="22" t="s">
        <v>1076</v>
      </c>
      <c r="F248" s="22" t="str">
        <f ca="1">IFERROR(__xludf.DUMMYFUNCTION("GOOGLETRANSLATE(E248,""ar"",""en"")"),"Sindi Shop Foundation")</f>
        <v>Sindi Shop Foundation</v>
      </c>
      <c r="G248" s="22" t="s">
        <v>3582</v>
      </c>
      <c r="H248" s="24" t="s">
        <v>3590</v>
      </c>
      <c r="I248" s="22" t="s">
        <v>3621</v>
      </c>
      <c r="J248" s="5" t="str">
        <f ca="1">IFERROR(__xludf.DUMMYFUNCTION("GOOGLETRANSLATE(G248,""ar"",""en"")"),"Safwa")</f>
        <v>Safwa</v>
      </c>
      <c r="K248" s="5"/>
      <c r="L248" s="5"/>
      <c r="M248" s="5" t="str">
        <f ca="1">IFERROR(__xludf.DUMMYFUNCTION("GOOGLETRANSLATE(J248,""ar"",""en"")"),"#VALUE!")</f>
        <v>#VALUE!</v>
      </c>
      <c r="N248" s="6" t="s">
        <v>1077</v>
      </c>
      <c r="O248" s="10" t="s">
        <v>1078</v>
      </c>
    </row>
    <row r="249" spans="1:15" ht="20.100000000000001" customHeight="1" thickTop="1" thickBot="1">
      <c r="A249" s="1"/>
      <c r="B249" s="22">
        <v>248</v>
      </c>
      <c r="C249" s="22" t="s">
        <v>1079</v>
      </c>
      <c r="D249" s="22" t="s">
        <v>13</v>
      </c>
      <c r="E249" s="23" t="s">
        <v>1080</v>
      </c>
      <c r="F249" s="22" t="str">
        <f ca="1">IFERROR(__xludf.DUMMYFUNCTION("GOOGLETRANSLATE(E249,""ar"",""en"")"),"Safwat Al Ard Central Markets")</f>
        <v>Safwat Al Ard Central Markets</v>
      </c>
      <c r="G249" s="22" t="s">
        <v>3582</v>
      </c>
      <c r="H249" s="24" t="s">
        <v>3590</v>
      </c>
      <c r="I249" s="23" t="s">
        <v>3621</v>
      </c>
      <c r="J249" s="5" t="str">
        <f ca="1">IFERROR(__xludf.DUMMYFUNCTION("GOOGLETRANSLATE(G249,""ar"",""en"")"),"Safwa")</f>
        <v>Safwa</v>
      </c>
      <c r="K249" s="11">
        <v>557874468</v>
      </c>
      <c r="L249" s="11" t="s">
        <v>1081</v>
      </c>
      <c r="M249" s="5" t="str">
        <f ca="1">IFERROR(__xludf.DUMMYFUNCTION("GOOGLETRANSLATE(J249,""ar"",""en"")"),"Akram")</f>
        <v>Akram</v>
      </c>
      <c r="N249" s="12" t="s">
        <v>1082</v>
      </c>
      <c r="O249" s="10" t="s">
        <v>1083</v>
      </c>
    </row>
    <row r="250" spans="1:15" ht="20.100000000000001" customHeight="1" thickTop="1" thickBot="1">
      <c r="A250" s="1"/>
      <c r="B250" s="22">
        <v>249</v>
      </c>
      <c r="C250" s="22" t="s">
        <v>1084</v>
      </c>
      <c r="D250" s="22" t="s">
        <v>13</v>
      </c>
      <c r="E250" s="22" t="s">
        <v>1085</v>
      </c>
      <c r="F250" s="22" t="str">
        <f ca="1">IFERROR(__xludf.DUMMYFUNCTION("GOOGLETRANSLATE(E250,""ar"",""en"")"),"Al-Dhahab Supplies")</f>
        <v>Al-Dhahab Supplies</v>
      </c>
      <c r="G250" s="22" t="s">
        <v>3582</v>
      </c>
      <c r="H250" s="24" t="s">
        <v>3590</v>
      </c>
      <c r="I250" s="22" t="s">
        <v>3602</v>
      </c>
      <c r="J250" s="5" t="str">
        <f ca="1">IFERROR(__xludf.DUMMYFUNCTION("GOOGLETRANSLATE(G250,""ar"",""en"")"),"Gulf")</f>
        <v>Gulf</v>
      </c>
      <c r="K250" s="5"/>
      <c r="L250" s="5"/>
      <c r="M250" s="5" t="str">
        <f ca="1">IFERROR(__xludf.DUMMYFUNCTION("GOOGLETRANSLATE(J250,""ar"",""en"")"),"#VALUE!")</f>
        <v>#VALUE!</v>
      </c>
      <c r="N250" s="6" t="s">
        <v>1086</v>
      </c>
      <c r="O250" s="10" t="s">
        <v>1087</v>
      </c>
    </row>
    <row r="251" spans="1:15" ht="20.100000000000001" customHeight="1" thickTop="1" thickBot="1">
      <c r="A251" s="1"/>
      <c r="B251" s="22">
        <v>250</v>
      </c>
      <c r="C251" s="22" t="s">
        <v>1088</v>
      </c>
      <c r="D251" s="22" t="s">
        <v>13</v>
      </c>
      <c r="E251" s="23" t="s">
        <v>1085</v>
      </c>
      <c r="F251" s="22" t="str">
        <f ca="1">IFERROR(__xludf.DUMMYFUNCTION("GOOGLETRANSLATE(E251,""ar"",""en"")"),"Al-Dhahab Supplies")</f>
        <v>Al-Dhahab Supplies</v>
      </c>
      <c r="G251" s="22" t="s">
        <v>3582</v>
      </c>
      <c r="H251" s="24" t="s">
        <v>3590</v>
      </c>
      <c r="I251" s="23" t="s">
        <v>3622</v>
      </c>
      <c r="J251" s="5" t="str">
        <f ca="1">IFERROR(__xludf.DUMMYFUNCTION("GOOGLETRANSLATE(G251,""ar"",""en"")"),"The greed")</f>
        <v>The greed</v>
      </c>
      <c r="K251" s="11">
        <v>503248839</v>
      </c>
      <c r="L251" s="11" t="s">
        <v>1089</v>
      </c>
      <c r="M251" s="5" t="str">
        <f ca="1">IFERROR(__xludf.DUMMYFUNCTION("GOOGLETRANSLATE(J251,""ar"",""en"")"),"Imran")</f>
        <v>Imran</v>
      </c>
      <c r="N251" s="12" t="s">
        <v>1090</v>
      </c>
      <c r="O251" s="10" t="s">
        <v>1091</v>
      </c>
    </row>
    <row r="252" spans="1:15" ht="20.100000000000001" customHeight="1" thickTop="1" thickBot="1">
      <c r="A252" s="1"/>
      <c r="B252" s="22">
        <v>251</v>
      </c>
      <c r="C252" s="22" t="s">
        <v>1092</v>
      </c>
      <c r="D252" s="22" t="s">
        <v>13</v>
      </c>
      <c r="E252" s="22" t="s">
        <v>1093</v>
      </c>
      <c r="F252" s="22" t="str">
        <f ca="1">IFERROR(__xludf.DUMMYFUNCTION("GOOGLETRANSLATE(E252,""ar"",""en"")"),"Hazm Al-Qassim Grocery")</f>
        <v>Hazm Al-Qassim Grocery</v>
      </c>
      <c r="G252" s="22" t="s">
        <v>3582</v>
      </c>
      <c r="H252" s="24" t="s">
        <v>3590</v>
      </c>
      <c r="I252" s="22" t="s">
        <v>3620</v>
      </c>
      <c r="J252" s="5" t="str">
        <f ca="1">IFERROR(__xludf.DUMMYFUNCTION("GOOGLETRANSLATE(G252,""ar"",""en"")"),"The bundle")</f>
        <v>The bundle</v>
      </c>
      <c r="K252" s="5">
        <v>550321581</v>
      </c>
      <c r="L252" s="5" t="s">
        <v>1094</v>
      </c>
      <c r="M252" s="5" t="str">
        <f ca="1">IFERROR(__xludf.DUMMYFUNCTION("GOOGLETRANSLATE(J252,""ar"",""en"")"),"Faisal Abu Omar")</f>
        <v>Faisal Abu Omar</v>
      </c>
      <c r="N252" s="6" t="s">
        <v>1095</v>
      </c>
      <c r="O252" s="10" t="s">
        <v>1096</v>
      </c>
    </row>
    <row r="253" spans="1:15" ht="20.100000000000001" customHeight="1" thickTop="1" thickBot="1">
      <c r="A253" s="1"/>
      <c r="B253" s="22">
        <v>252</v>
      </c>
      <c r="C253" s="22" t="s">
        <v>1097</v>
      </c>
      <c r="D253" s="22" t="s">
        <v>13</v>
      </c>
      <c r="E253" s="23" t="s">
        <v>1098</v>
      </c>
      <c r="F253" s="22" t="str">
        <f ca="1">IFERROR(__xludf.DUMMYFUNCTION("GOOGLETRANSLATE(E253,""ar"",""en"")"),"Qamar Al Jazeera Supplies")</f>
        <v>Qamar Al Jazeera Supplies</v>
      </c>
      <c r="G253" s="22" t="s">
        <v>3582</v>
      </c>
      <c r="H253" s="24" t="s">
        <v>3590</v>
      </c>
      <c r="I253" s="23" t="s">
        <v>3620</v>
      </c>
      <c r="J253" s="5" t="str">
        <f ca="1">IFERROR(__xludf.DUMMYFUNCTION("GOOGLETRANSLATE(G253,""ar"",""en"")"),"The bundle")</f>
        <v>The bundle</v>
      </c>
      <c r="K253" s="11"/>
      <c r="L253" s="11"/>
      <c r="M253" s="5" t="str">
        <f ca="1">IFERROR(__xludf.DUMMYFUNCTION("GOOGLETRANSLATE(J253,""ar"",""en"")"),"#VALUE!")</f>
        <v>#VALUE!</v>
      </c>
      <c r="N253" s="12" t="s">
        <v>1099</v>
      </c>
      <c r="O253" s="10" t="s">
        <v>1100</v>
      </c>
    </row>
    <row r="254" spans="1:15" ht="20.100000000000001" customHeight="1" thickTop="1" thickBot="1">
      <c r="A254" s="1"/>
      <c r="B254" s="22">
        <v>253</v>
      </c>
      <c r="C254" s="22" t="s">
        <v>1101</v>
      </c>
      <c r="D254" s="22" t="s">
        <v>13</v>
      </c>
      <c r="E254" s="22" t="s">
        <v>975</v>
      </c>
      <c r="F254" s="22" t="str">
        <f ca="1">IFERROR(__xludf.DUMMYFUNCTION("GOOGLETRANSLATE(E254,""ar"",""en"")"),"Arab Winds Supplies")</f>
        <v>Arab Winds Supplies</v>
      </c>
      <c r="G254" s="22" t="s">
        <v>3582</v>
      </c>
      <c r="H254" s="24" t="s">
        <v>3590</v>
      </c>
      <c r="I254" s="22" t="s">
        <v>3620</v>
      </c>
      <c r="J254" s="5" t="str">
        <f ca="1">IFERROR(__xludf.DUMMYFUNCTION("GOOGLETRANSLATE(G254,""ar"",""en"")"),"The bundle")</f>
        <v>The bundle</v>
      </c>
      <c r="K254" s="5">
        <v>507308769</v>
      </c>
      <c r="L254" s="5"/>
      <c r="M254" s="5" t="str">
        <f ca="1">IFERROR(__xludf.DUMMYFUNCTION("GOOGLETRANSLATE(J254,""ar"",""en"")"),"#VALUE!")</f>
        <v>#VALUE!</v>
      </c>
      <c r="N254" s="6" t="s">
        <v>1102</v>
      </c>
      <c r="O254" s="10" t="s">
        <v>1103</v>
      </c>
    </row>
    <row r="255" spans="1:15" ht="20.100000000000001" customHeight="1" thickTop="1" thickBot="1">
      <c r="A255" s="1"/>
      <c r="B255" s="22">
        <v>254</v>
      </c>
      <c r="C255" s="22" t="s">
        <v>1104</v>
      </c>
      <c r="D255" s="22" t="s">
        <v>13</v>
      </c>
      <c r="E255" s="23" t="s">
        <v>1105</v>
      </c>
      <c r="F255" s="22" t="str">
        <f ca="1">IFERROR(__xludf.DUMMYFUNCTION("GOOGLETRANSLATE(E255,""ar"",""en"")"),"Consumer Planet Markets")</f>
        <v>Consumer Planet Markets</v>
      </c>
      <c r="G255" s="22" t="s">
        <v>3582</v>
      </c>
      <c r="H255" s="24" t="s">
        <v>3590</v>
      </c>
      <c r="I255" s="23" t="s">
        <v>3623</v>
      </c>
      <c r="J255" s="5" t="str">
        <f ca="1">IFERROR(__xludf.DUMMYFUNCTION("GOOGLETRANSLATE(G255,""ar"",""en"")"),"or")</f>
        <v>or</v>
      </c>
      <c r="K255" s="11">
        <v>556512747</v>
      </c>
      <c r="L255" s="11" t="s">
        <v>1106</v>
      </c>
      <c r="M255" s="5" t="str">
        <f ca="1">IFERROR(__xludf.DUMMYFUNCTION("GOOGLETRANSLATE(J255,""ar"",""en"")"),"Hassan")</f>
        <v>Hassan</v>
      </c>
      <c r="N255" s="12" t="s">
        <v>1107</v>
      </c>
      <c r="O255" s="10" t="s">
        <v>1108</v>
      </c>
    </row>
    <row r="256" spans="1:15" ht="20.100000000000001" customHeight="1" thickTop="1" thickBot="1">
      <c r="A256" s="1"/>
      <c r="B256" s="22">
        <v>255</v>
      </c>
      <c r="C256" s="22" t="s">
        <v>1109</v>
      </c>
      <c r="D256" s="22" t="s">
        <v>13</v>
      </c>
      <c r="E256" s="22" t="s">
        <v>1110</v>
      </c>
      <c r="F256" s="22" t="str">
        <f ca="1">IFERROR(__xludf.DUMMYFUNCTION("GOOGLETRANSLATE(E256,""ar"",""en"")"),"Eastern Corner")</f>
        <v>Eastern Corner</v>
      </c>
      <c r="G256" s="22" t="s">
        <v>3582</v>
      </c>
      <c r="H256" s="24" t="s">
        <v>3590</v>
      </c>
      <c r="I256" s="23" t="s">
        <v>3623</v>
      </c>
      <c r="J256" s="5" t="str">
        <f ca="1">IFERROR(__xludf.DUMMYFUNCTION("GOOGLETRANSLATE(G256,""ar"",""en"")"),"Umm Sahak")</f>
        <v>Umm Sahak</v>
      </c>
      <c r="K256" s="5"/>
      <c r="L256" s="5"/>
      <c r="M256" s="5" t="str">
        <f ca="1">IFERROR(__xludf.DUMMYFUNCTION("GOOGLETRANSLATE(J256,""ar"",""en"")"),"#VALUE!")</f>
        <v>#VALUE!</v>
      </c>
      <c r="N256" s="6" t="s">
        <v>1111</v>
      </c>
      <c r="O256" s="10" t="s">
        <v>1112</v>
      </c>
    </row>
    <row r="257" spans="1:15" ht="20.100000000000001" customHeight="1" thickTop="1" thickBot="1">
      <c r="A257" s="1"/>
      <c r="B257" s="22">
        <v>256</v>
      </c>
      <c r="C257" s="22" t="s">
        <v>1113</v>
      </c>
      <c r="D257" s="22" t="s">
        <v>13</v>
      </c>
      <c r="E257" s="23" t="s">
        <v>1114</v>
      </c>
      <c r="F257" s="22" t="str">
        <f ca="1">IFERROR(__xludf.DUMMYFUNCTION("GOOGLETRANSLATE(E257,""ar"",""en"")"),"SPAR Express Markets")</f>
        <v>SPAR Express Markets</v>
      </c>
      <c r="G257" s="22" t="s">
        <v>3582</v>
      </c>
      <c r="H257" s="24" t="s">
        <v>3590</v>
      </c>
      <c r="I257" s="23" t="s">
        <v>3623</v>
      </c>
      <c r="J257" s="5" t="str">
        <f ca="1">IFERROR(__xludf.DUMMYFUNCTION("GOOGLETRANSLATE(G257,""ar"",""en"")"),"or")</f>
        <v>or</v>
      </c>
      <c r="K257" s="11">
        <v>562206431</v>
      </c>
      <c r="L257" s="11"/>
      <c r="M257" s="5" t="str">
        <f ca="1">IFERROR(__xludf.DUMMYFUNCTION("GOOGLETRANSLATE(J257,""ar"",""en"")"),"#VALUE!")</f>
        <v>#VALUE!</v>
      </c>
      <c r="N257" s="12" t="s">
        <v>1115</v>
      </c>
      <c r="O257" s="10" t="s">
        <v>1116</v>
      </c>
    </row>
    <row r="258" spans="1:15" ht="20.100000000000001" customHeight="1" thickTop="1" thickBot="1">
      <c r="A258" s="1"/>
      <c r="B258" s="22">
        <v>257</v>
      </c>
      <c r="C258" s="22" t="s">
        <v>1117</v>
      </c>
      <c r="D258" s="22" t="s">
        <v>13</v>
      </c>
      <c r="E258" s="22" t="s">
        <v>1118</v>
      </c>
      <c r="F258" s="22" t="str">
        <f ca="1">IFERROR(__xludf.DUMMYFUNCTION("GOOGLETRANSLATE(E258,""ar"",""en"")"),"Road Anker Yazd Company")</f>
        <v>Road Anker Yazd Company</v>
      </c>
      <c r="G258" s="22" t="s">
        <v>3583</v>
      </c>
      <c r="H258" s="24" t="s">
        <v>3591</v>
      </c>
      <c r="I258" s="22" t="s">
        <v>3692</v>
      </c>
      <c r="J258" s="5" t="str">
        <f ca="1">IFERROR(__xludf.DUMMYFUNCTION("GOOGLETRANSLATE(G258,""ar"",""en"")"),"Ras Tanura")</f>
        <v>Ras Tanura</v>
      </c>
      <c r="K258" s="5"/>
      <c r="L258" s="5"/>
      <c r="M258" s="5" t="str">
        <f ca="1">IFERROR(__xludf.DUMMYFUNCTION("GOOGLETRANSLATE(J258,""ar"",""en"")"),"#VALUE!")</f>
        <v>#VALUE!</v>
      </c>
      <c r="N258" s="6" t="s">
        <v>1119</v>
      </c>
      <c r="O258" s="10" t="s">
        <v>1120</v>
      </c>
    </row>
    <row r="259" spans="1:15" ht="20.100000000000001" customHeight="1" thickTop="1" thickBot="1">
      <c r="A259" s="1"/>
      <c r="B259" s="22">
        <v>258</v>
      </c>
      <c r="C259" s="22" t="s">
        <v>1121</v>
      </c>
      <c r="D259" s="22" t="s">
        <v>13</v>
      </c>
      <c r="E259" s="23" t="s">
        <v>1122</v>
      </c>
      <c r="F259" s="22" t="str">
        <f ca="1">IFERROR(__xludf.DUMMYFUNCTION("GOOGLETRANSLATE(E259,""ar"",""en"")"),"Indian Foundation Ali Hazazi")</f>
        <v>Indian Foundation Ali Hazazi</v>
      </c>
      <c r="G259" s="22" t="s">
        <v>3583</v>
      </c>
      <c r="H259" s="24" t="s">
        <v>3591</v>
      </c>
      <c r="I259" s="22" t="s">
        <v>3692</v>
      </c>
      <c r="J259" s="5" t="str">
        <f ca="1">IFERROR(__xludf.DUMMYFUNCTION("GOOGLETRANSLATE(G259,""ar"",""en"")"),"head")</f>
        <v>head</v>
      </c>
      <c r="K259" s="11"/>
      <c r="L259" s="11"/>
      <c r="M259" s="5" t="str">
        <f ca="1">IFERROR(__xludf.DUMMYFUNCTION("GOOGLETRANSLATE(J259,""ar"",""en"")"),"#VALUE!")</f>
        <v>#VALUE!</v>
      </c>
      <c r="N259" s="12" t="s">
        <v>1123</v>
      </c>
      <c r="O259" s="10" t="s">
        <v>1124</v>
      </c>
    </row>
    <row r="260" spans="1:15" ht="20.100000000000001" customHeight="1" thickTop="1" thickBot="1">
      <c r="A260" s="1"/>
      <c r="B260" s="22">
        <v>259</v>
      </c>
      <c r="C260" s="22" t="s">
        <v>1125</v>
      </c>
      <c r="D260" s="22" t="s">
        <v>13</v>
      </c>
      <c r="E260" s="22" t="s">
        <v>1126</v>
      </c>
      <c r="F260" s="22" t="str">
        <f ca="1">IFERROR(__xludf.DUMMYFUNCTION("GOOGLETRANSLATE(E260,""ar"",""en"")"),"Fakhr Al Nisa'a Supplies")</f>
        <v>Fakhr Al Nisa'a Supplies</v>
      </c>
      <c r="G260" s="22" t="s">
        <v>3583</v>
      </c>
      <c r="H260" s="24" t="s">
        <v>3591</v>
      </c>
      <c r="I260" s="22" t="s">
        <v>3692</v>
      </c>
      <c r="J260" s="5" t="str">
        <f ca="1">IFERROR(__xludf.DUMMYFUNCTION("GOOGLETRANSLATE(G260,""ar"",""en"")"),"head")</f>
        <v>head</v>
      </c>
      <c r="K260" s="5">
        <v>571207083</v>
      </c>
      <c r="L260" s="5"/>
      <c r="M260" s="5" t="str">
        <f ca="1">IFERROR(__xludf.DUMMYFUNCTION("GOOGLETRANSLATE(J260,""ar"",""en"")"),"#VALUE!")</f>
        <v>#VALUE!</v>
      </c>
      <c r="N260" s="6" t="s">
        <v>1127</v>
      </c>
      <c r="O260" s="10" t="s">
        <v>1128</v>
      </c>
    </row>
    <row r="261" spans="1:15" ht="20.100000000000001" customHeight="1" thickTop="1" thickBot="1">
      <c r="A261" s="1"/>
      <c r="B261" s="22">
        <v>260</v>
      </c>
      <c r="C261" s="22" t="s">
        <v>1129</v>
      </c>
      <c r="D261" s="22" t="s">
        <v>13</v>
      </c>
      <c r="E261" s="23" t="s">
        <v>1130</v>
      </c>
      <c r="F261" s="22" t="str">
        <f ca="1">IFERROR(__xludf.DUMMYFUNCTION("GOOGLETRANSLATE(E261,""ar"",""en"")"),"Supplies to the door, second branch")</f>
        <v>Supplies to the door, second branch</v>
      </c>
      <c r="G261" s="22" t="s">
        <v>3583</v>
      </c>
      <c r="H261" s="24" t="s">
        <v>3591</v>
      </c>
      <c r="I261" s="22" t="s">
        <v>3692</v>
      </c>
      <c r="J261" s="5" t="str">
        <f ca="1">IFERROR(__xludf.DUMMYFUNCTION("GOOGLETRANSLATE(G261,""ar"",""en"")"),"head")</f>
        <v>head</v>
      </c>
      <c r="K261" s="11"/>
      <c r="L261" s="11"/>
      <c r="M261" s="5" t="str">
        <f ca="1">IFERROR(__xludf.DUMMYFUNCTION("GOOGLETRANSLATE(J261,""ar"",""en"")"),"#VALUE!")</f>
        <v>#VALUE!</v>
      </c>
      <c r="N261" s="12" t="s">
        <v>1131</v>
      </c>
      <c r="O261" s="10" t="s">
        <v>1132</v>
      </c>
    </row>
    <row r="262" spans="1:15" ht="20.100000000000001" customHeight="1" thickTop="1" thickBot="1">
      <c r="A262" s="1"/>
      <c r="B262" s="22">
        <v>261</v>
      </c>
      <c r="C262" s="22" t="s">
        <v>1133</v>
      </c>
      <c r="D262" s="22" t="s">
        <v>13</v>
      </c>
      <c r="E262" s="22" t="s">
        <v>1134</v>
      </c>
      <c r="F262" s="22" t="str">
        <f ca="1">IFERROR(__xludf.DUMMYFUNCTION("GOOGLETRANSLATE(E262,""ar"",""en"")"),"Al Buruj Oasis Foundation")</f>
        <v>Al Buruj Oasis Foundation</v>
      </c>
      <c r="G262" s="22" t="s">
        <v>3583</v>
      </c>
      <c r="H262" s="24" t="s">
        <v>3591</v>
      </c>
      <c r="I262" s="22" t="s">
        <v>3692</v>
      </c>
      <c r="J262" s="5" t="str">
        <f ca="1">IFERROR(__xludf.DUMMYFUNCTION("GOOGLETRANSLATE(G262,""ar"",""en"")"),"head")</f>
        <v>head</v>
      </c>
      <c r="K262" s="5">
        <v>507556779</v>
      </c>
      <c r="L262" s="5"/>
      <c r="M262" s="5" t="str">
        <f ca="1">IFERROR(__xludf.DUMMYFUNCTION("GOOGLETRANSLATE(J262,""ar"",""en"")"),"#VALUE!")</f>
        <v>#VALUE!</v>
      </c>
      <c r="N262" s="6" t="s">
        <v>1135</v>
      </c>
      <c r="O262" s="10" t="s">
        <v>1136</v>
      </c>
    </row>
    <row r="263" spans="1:15" ht="20.100000000000001" customHeight="1" thickTop="1" thickBot="1">
      <c r="A263" s="1"/>
      <c r="B263" s="22">
        <v>262</v>
      </c>
      <c r="C263" s="22" t="s">
        <v>1137</v>
      </c>
      <c r="D263" s="22" t="s">
        <v>13</v>
      </c>
      <c r="E263" s="23" t="s">
        <v>1138</v>
      </c>
      <c r="F263" s="22" t="str">
        <f ca="1">IFERROR(__xludf.DUMMYFUNCTION("GOOGLETRANSLATE(E263,""ar"",""en"")"),"Merciful Seasons Foundation")</f>
        <v>Merciful Seasons Foundation</v>
      </c>
      <c r="G263" s="22" t="s">
        <v>3583</v>
      </c>
      <c r="H263" s="24" t="s">
        <v>3591</v>
      </c>
      <c r="I263" s="22" t="s">
        <v>3692</v>
      </c>
      <c r="J263" s="5" t="str">
        <f ca="1">IFERROR(__xludf.DUMMYFUNCTION("GOOGLETRANSLATE(G263,""ar"",""en"")"),"head")</f>
        <v>head</v>
      </c>
      <c r="K263" s="11">
        <v>508125226</v>
      </c>
      <c r="L263" s="11"/>
      <c r="M263" s="5" t="str">
        <f ca="1">IFERROR(__xludf.DUMMYFUNCTION("GOOGLETRANSLATE(J263,""ar"",""en"")"),"#VALUE!")</f>
        <v>#VALUE!</v>
      </c>
      <c r="N263" s="12" t="s">
        <v>1139</v>
      </c>
      <c r="O263" s="10" t="s">
        <v>1140</v>
      </c>
    </row>
    <row r="264" spans="1:15" ht="20.100000000000001" customHeight="1" thickTop="1" thickBot="1">
      <c r="A264" s="1"/>
      <c r="B264" s="22">
        <v>263</v>
      </c>
      <c r="C264" s="22" t="s">
        <v>1141</v>
      </c>
      <c r="D264" s="22" t="s">
        <v>13</v>
      </c>
      <c r="E264" s="22" t="s">
        <v>1142</v>
      </c>
      <c r="F264" s="22" t="str">
        <f ca="1">IFERROR(__xludf.DUMMYFUNCTION("GOOGLETRANSLATE(E264,""ar"",""en"")"),"Echo Pillars Supplies")</f>
        <v>Echo Pillars Supplies</v>
      </c>
      <c r="G264" s="22" t="s">
        <v>3583</v>
      </c>
      <c r="H264" s="24" t="s">
        <v>3591</v>
      </c>
      <c r="I264" s="22" t="s">
        <v>3692</v>
      </c>
      <c r="J264" s="5" t="str">
        <f ca="1">IFERROR(__xludf.DUMMYFUNCTION("GOOGLETRANSLATE(G264,""ar"",""en"")"),"head")</f>
        <v>head</v>
      </c>
      <c r="K264" s="5">
        <v>551184360</v>
      </c>
      <c r="L264" s="5" t="s">
        <v>1143</v>
      </c>
      <c r="M264" s="5" t="str">
        <f ca="1">IFERROR(__xludf.DUMMYFUNCTION("GOOGLETRANSLATE(J264,""ar"",""en"")"),"Younes")</f>
        <v>Younes</v>
      </c>
      <c r="N264" s="6" t="s">
        <v>1144</v>
      </c>
      <c r="O264" s="10" t="s">
        <v>1145</v>
      </c>
    </row>
    <row r="265" spans="1:15" ht="20.100000000000001" customHeight="1" thickTop="1" thickBot="1">
      <c r="A265" s="1"/>
      <c r="B265" s="22">
        <v>264</v>
      </c>
      <c r="C265" s="22" t="s">
        <v>1146</v>
      </c>
      <c r="D265" s="22" t="s">
        <v>13</v>
      </c>
      <c r="E265" s="23" t="s">
        <v>1147</v>
      </c>
      <c r="F265" s="22" t="str">
        <f ca="1">IFERROR(__xludf.DUMMYFUNCTION("GOOGLETRANSLATE(E265,""ar"",""en"")"),"Kayan Rahima Supplies")</f>
        <v>Kayan Rahima Supplies</v>
      </c>
      <c r="G265" s="22" t="s">
        <v>3583</v>
      </c>
      <c r="H265" s="24" t="s">
        <v>3591</v>
      </c>
      <c r="I265" s="22" t="s">
        <v>3692</v>
      </c>
      <c r="J265" s="5" t="str">
        <f ca="1">IFERROR(__xludf.DUMMYFUNCTION("GOOGLETRANSLATE(G265,""ar"",""en"")"),"head")</f>
        <v>head</v>
      </c>
      <c r="K265" s="11">
        <v>507201713</v>
      </c>
      <c r="L265" s="11" t="s">
        <v>1148</v>
      </c>
      <c r="M265" s="5" t="str">
        <f ca="1">IFERROR(__xludf.DUMMYFUNCTION("GOOGLETRANSLATE(J265,""ar"",""en"")"),"Abu Rayyan")</f>
        <v>Abu Rayyan</v>
      </c>
      <c r="N265" s="12" t="s">
        <v>1149</v>
      </c>
      <c r="O265" s="10" t="s">
        <v>1150</v>
      </c>
    </row>
    <row r="266" spans="1:15" ht="20.100000000000001" customHeight="1" thickTop="1" thickBot="1">
      <c r="A266" s="1"/>
      <c r="B266" s="22">
        <v>265</v>
      </c>
      <c r="C266" s="22" t="s">
        <v>1151</v>
      </c>
      <c r="D266" s="22" t="s">
        <v>13</v>
      </c>
      <c r="E266" s="22" t="s">
        <v>1152</v>
      </c>
      <c r="F266" s="22" t="str">
        <f ca="1">IFERROR(__xludf.DUMMYFUNCTION("GOOGLETRANSLATE(E266,""ar"",""en"")"),"Dubai Merciful Catering")</f>
        <v>Dubai Merciful Catering</v>
      </c>
      <c r="G266" s="22" t="s">
        <v>3583</v>
      </c>
      <c r="H266" s="24" t="s">
        <v>3591</v>
      </c>
      <c r="I266" s="22" t="s">
        <v>3692</v>
      </c>
      <c r="J266" s="5" t="str">
        <f ca="1">IFERROR(__xludf.DUMMYFUNCTION("GOOGLETRANSLATE(G266,""ar"",""en"")"),"head")</f>
        <v>head</v>
      </c>
      <c r="K266" s="5">
        <v>508140480</v>
      </c>
      <c r="L266" s="5"/>
      <c r="M266" s="5" t="str">
        <f ca="1">IFERROR(__xludf.DUMMYFUNCTION("GOOGLETRANSLATE(J266,""ar"",""en"")"),"#VALUE!")</f>
        <v>#VALUE!</v>
      </c>
      <c r="N266" s="6" t="s">
        <v>1153</v>
      </c>
      <c r="O266" s="10" t="s">
        <v>1154</v>
      </c>
    </row>
    <row r="267" spans="1:15" ht="20.100000000000001" customHeight="1" thickTop="1" thickBot="1">
      <c r="A267" s="1"/>
      <c r="B267" s="22">
        <v>266</v>
      </c>
      <c r="C267" s="22" t="s">
        <v>1155</v>
      </c>
      <c r="D267" s="22" t="s">
        <v>13</v>
      </c>
      <c r="E267" s="23" t="s">
        <v>1156</v>
      </c>
      <c r="F267" s="22" t="str">
        <f ca="1">IFERROR(__xludf.DUMMYFUNCTION("GOOGLETRANSLATE(E267,""ar"",""en"")"),"Green Provisions Grocery")</f>
        <v>Green Provisions Grocery</v>
      </c>
      <c r="G267" s="22" t="s">
        <v>3583</v>
      </c>
      <c r="H267" s="24" t="s">
        <v>3591</v>
      </c>
      <c r="I267" s="22" t="s">
        <v>3692</v>
      </c>
      <c r="J267" s="5" t="str">
        <f ca="1">IFERROR(__xludf.DUMMYFUNCTION("GOOGLETRANSLATE(G267,""ar"",""en"")"),"head")</f>
        <v>head</v>
      </c>
      <c r="K267" s="11">
        <v>548134806</v>
      </c>
      <c r="L267" s="11"/>
      <c r="M267" s="5" t="str">
        <f ca="1">IFERROR(__xludf.DUMMYFUNCTION("GOOGLETRANSLATE(J267,""ar"",""en"")"),"#VALUE!")</f>
        <v>#VALUE!</v>
      </c>
      <c r="N267" s="12" t="s">
        <v>1157</v>
      </c>
      <c r="O267" s="10" t="s">
        <v>1158</v>
      </c>
    </row>
    <row r="268" spans="1:15" ht="20.100000000000001" customHeight="1" thickTop="1" thickBot="1">
      <c r="A268" s="1"/>
      <c r="B268" s="22">
        <v>267</v>
      </c>
      <c r="C268" s="22" t="s">
        <v>1159</v>
      </c>
      <c r="D268" s="22" t="s">
        <v>13</v>
      </c>
      <c r="E268" s="22" t="s">
        <v>1160</v>
      </c>
      <c r="F268" s="22" t="str">
        <f ca="1">IFERROR(__xludf.DUMMYFUNCTION("GOOGLETRANSLATE(E268,""ar"",""en"")"),"Ras Tanura Home Supplies")</f>
        <v>Ras Tanura Home Supplies</v>
      </c>
      <c r="G268" s="22" t="s">
        <v>3583</v>
      </c>
      <c r="H268" s="24" t="s">
        <v>3591</v>
      </c>
      <c r="I268" s="22" t="s">
        <v>3692</v>
      </c>
      <c r="J268" s="5" t="str">
        <f ca="1">IFERROR(__xludf.DUMMYFUNCTION("GOOGLETRANSLATE(G268,""ar"",""en"")"),"head")</f>
        <v>head</v>
      </c>
      <c r="K268" s="5">
        <v>555831023</v>
      </c>
      <c r="L268" s="5" t="s">
        <v>1161</v>
      </c>
      <c r="M268" s="5" t="str">
        <f ca="1">IFERROR(__xludf.DUMMYFUNCTION("GOOGLETRANSLATE(J268,""ar"",""en"")"),"fair")</f>
        <v>fair</v>
      </c>
      <c r="N268" s="6" t="s">
        <v>1162</v>
      </c>
      <c r="O268" s="10" t="s">
        <v>1163</v>
      </c>
    </row>
    <row r="269" spans="1:15" ht="20.100000000000001" customHeight="1" thickTop="1" thickBot="1">
      <c r="A269" s="1"/>
      <c r="B269" s="22">
        <v>268</v>
      </c>
      <c r="C269" s="22" t="s">
        <v>1164</v>
      </c>
      <c r="D269" s="22" t="s">
        <v>13</v>
      </c>
      <c r="E269" s="23" t="s">
        <v>1165</v>
      </c>
      <c r="F269" s="22" t="str">
        <f ca="1">IFERROR(__xludf.DUMMYFUNCTION("GOOGLETRANSLATE(E269,""ar"",""en"")"),"Khairat Al-Habqa Supplies")</f>
        <v>Khairat Al-Habqa Supplies</v>
      </c>
      <c r="G269" s="22" t="s">
        <v>3583</v>
      </c>
      <c r="H269" s="24" t="s">
        <v>3591</v>
      </c>
      <c r="I269" s="22" t="s">
        <v>3692</v>
      </c>
      <c r="J269" s="5" t="str">
        <f ca="1">IFERROR(__xludf.DUMMYFUNCTION("GOOGLETRANSLATE(G269,""ar"",""en"")"),"head")</f>
        <v>head</v>
      </c>
      <c r="K269" s="11">
        <v>564825701</v>
      </c>
      <c r="L269" s="11"/>
      <c r="M269" s="5" t="str">
        <f ca="1">IFERROR(__xludf.DUMMYFUNCTION("GOOGLETRANSLATE(J269,""ar"",""en"")"),"#VALUE!")</f>
        <v>#VALUE!</v>
      </c>
      <c r="N269" s="12" t="s">
        <v>1166</v>
      </c>
      <c r="O269" s="10" t="s">
        <v>1167</v>
      </c>
    </row>
    <row r="270" spans="1:15" ht="20.100000000000001" customHeight="1" thickTop="1" thickBot="1">
      <c r="A270" s="1"/>
      <c r="B270" s="22">
        <v>269</v>
      </c>
      <c r="C270" s="22" t="s">
        <v>1168</v>
      </c>
      <c r="D270" s="22" t="s">
        <v>13</v>
      </c>
      <c r="E270" s="22" t="s">
        <v>1169</v>
      </c>
      <c r="F270" s="22" t="str">
        <f ca="1">IFERROR(__xludf.DUMMYFUNCTION("GOOGLETRANSLATE(E270,""ar"",""en"")"),"Supplies to the door")</f>
        <v>Supplies to the door</v>
      </c>
      <c r="G270" s="22" t="s">
        <v>3583</v>
      </c>
      <c r="H270" s="24" t="s">
        <v>3591</v>
      </c>
      <c r="I270" s="22" t="s">
        <v>3692</v>
      </c>
      <c r="J270" s="5" t="str">
        <f ca="1">IFERROR(__xludf.DUMMYFUNCTION("GOOGLETRANSLATE(G270,""ar"",""en"")"),"head")</f>
        <v>head</v>
      </c>
      <c r="K270" s="5">
        <v>556572630</v>
      </c>
      <c r="L270" s="5" t="s">
        <v>1170</v>
      </c>
      <c r="M270" s="5" t="str">
        <f ca="1">IFERROR(__xludf.DUMMYFUNCTION("GOOGLETRANSLATE(J270,""ar"",""en"")"),"Abdul Fattah Abu Hamad")</f>
        <v>Abdul Fattah Abu Hamad</v>
      </c>
      <c r="N270" s="6" t="s">
        <v>1171</v>
      </c>
      <c r="O270" s="10" t="s">
        <v>1172</v>
      </c>
    </row>
    <row r="271" spans="1:15" ht="20.100000000000001" customHeight="1" thickTop="1" thickBot="1">
      <c r="A271" s="1"/>
      <c r="B271" s="22">
        <v>270</v>
      </c>
      <c r="C271" s="22" t="s">
        <v>1173</v>
      </c>
      <c r="D271" s="22" t="s">
        <v>13</v>
      </c>
      <c r="E271" s="23" t="s">
        <v>1174</v>
      </c>
      <c r="F271" s="22" t="str">
        <f ca="1">IFERROR(__xludf.DUMMYFUNCTION("GOOGLETRANSLATE(E271,""ar"",""en"")"),"Amjadna Supplies")</f>
        <v>Amjadna Supplies</v>
      </c>
      <c r="G271" s="22" t="s">
        <v>3583</v>
      </c>
      <c r="H271" s="24" t="s">
        <v>3591</v>
      </c>
      <c r="I271" s="22" t="s">
        <v>3692</v>
      </c>
      <c r="J271" s="5" t="str">
        <f ca="1">IFERROR(__xludf.DUMMYFUNCTION("GOOGLETRANSLATE(G271,""ar"",""en"")"),"head")</f>
        <v>head</v>
      </c>
      <c r="K271" s="11">
        <v>534712464</v>
      </c>
      <c r="L271" s="11" t="s">
        <v>1175</v>
      </c>
      <c r="M271" s="5" t="str">
        <f ca="1">IFERROR(__xludf.DUMMYFUNCTION("GOOGLETRANSLATE(J271,""ar"",""en"")"),"Abu Iyad")</f>
        <v>Abu Iyad</v>
      </c>
      <c r="N271" s="12" t="s">
        <v>1176</v>
      </c>
      <c r="O271" s="10" t="s">
        <v>1177</v>
      </c>
    </row>
    <row r="272" spans="1:15" ht="20.100000000000001" customHeight="1" thickTop="1" thickBot="1">
      <c r="A272" s="1"/>
      <c r="B272" s="22">
        <v>271</v>
      </c>
      <c r="C272" s="22" t="s">
        <v>1178</v>
      </c>
      <c r="D272" s="22" t="s">
        <v>13</v>
      </c>
      <c r="E272" s="22" t="s">
        <v>1179</v>
      </c>
      <c r="F272" s="22" t="str">
        <f ca="1">IFERROR(__xludf.DUMMYFUNCTION("GOOGLETRANSLATE(E272,""ar"",""en"")"),"Rahima Resources Trading Supplies")</f>
        <v>Rahima Resources Trading Supplies</v>
      </c>
      <c r="G272" s="22" t="s">
        <v>3583</v>
      </c>
      <c r="H272" s="24" t="s">
        <v>3591</v>
      </c>
      <c r="I272" s="22" t="s">
        <v>3692</v>
      </c>
      <c r="J272" s="5" t="str">
        <f ca="1">IFERROR(__xludf.DUMMYFUNCTION("GOOGLETRANSLATE(G272,""ar"",""en"")"),"head")</f>
        <v>head</v>
      </c>
      <c r="K272" s="5">
        <v>554785373</v>
      </c>
      <c r="L272" s="5" t="s">
        <v>1180</v>
      </c>
      <c r="M272" s="5" t="str">
        <f ca="1">IFERROR(__xludf.DUMMYFUNCTION("GOOGLETRANSLATE(J272,""ar"",""en"")"),"Abu Badr")</f>
        <v>Abu Badr</v>
      </c>
      <c r="N272" s="6" t="s">
        <v>1181</v>
      </c>
      <c r="O272" s="10" t="s">
        <v>1182</v>
      </c>
    </row>
    <row r="273" spans="1:15" ht="20.100000000000001" customHeight="1" thickTop="1" thickBot="1">
      <c r="A273" s="1"/>
      <c r="B273" s="22">
        <v>272</v>
      </c>
      <c r="C273" s="22" t="s">
        <v>1183</v>
      </c>
      <c r="D273" s="22" t="s">
        <v>13</v>
      </c>
      <c r="E273" s="23" t="s">
        <v>1184</v>
      </c>
      <c r="F273" s="22" t="str">
        <f ca="1">IFERROR(__xludf.DUMMYFUNCTION("GOOGLETRANSLATE(E273,""ar"",""en"")"),"Al-Amin Ship Supplies")</f>
        <v>Al-Amin Ship Supplies</v>
      </c>
      <c r="G273" s="22" t="s">
        <v>3583</v>
      </c>
      <c r="H273" s="24" t="s">
        <v>3591</v>
      </c>
      <c r="I273" s="22" t="s">
        <v>3692</v>
      </c>
      <c r="J273" s="5" t="str">
        <f ca="1">IFERROR(__xludf.DUMMYFUNCTION("GOOGLETRANSLATE(G273,""ar"",""en"")"),"head")</f>
        <v>head</v>
      </c>
      <c r="K273" s="11">
        <v>536675778</v>
      </c>
      <c r="L273" s="11"/>
      <c r="M273" s="5" t="str">
        <f ca="1">IFERROR(__xludf.DUMMYFUNCTION("GOOGLETRANSLATE(J273,""ar"",""en"")"),"#VALUE!")</f>
        <v>#VALUE!</v>
      </c>
      <c r="N273" s="12" t="s">
        <v>1185</v>
      </c>
      <c r="O273" s="10" t="s">
        <v>1186</v>
      </c>
    </row>
    <row r="274" spans="1:15" ht="20.100000000000001" customHeight="1" thickTop="1" thickBot="1">
      <c r="A274" s="1"/>
      <c r="B274" s="22">
        <v>273</v>
      </c>
      <c r="C274" s="22" t="s">
        <v>1187</v>
      </c>
      <c r="D274" s="22" t="s">
        <v>13</v>
      </c>
      <c r="E274" s="22" t="s">
        <v>1188</v>
      </c>
      <c r="F274" s="22" t="str">
        <f ca="1">IFERROR(__xludf.DUMMYFUNCTION("GOOGLETRANSLATE(E274,""ar"",""en"")"),"Beach Supplies")</f>
        <v>Beach Supplies</v>
      </c>
      <c r="G274" s="22" t="s">
        <v>3583</v>
      </c>
      <c r="H274" s="24" t="s">
        <v>3591</v>
      </c>
      <c r="I274" s="22" t="s">
        <v>3692</v>
      </c>
      <c r="J274" s="5" t="str">
        <f ca="1">IFERROR(__xludf.DUMMYFUNCTION("GOOGLETRANSLATE(G274,""ar"",""en"")"),"head")</f>
        <v>head</v>
      </c>
      <c r="K274" s="5">
        <v>557197341</v>
      </c>
      <c r="L274" s="5" t="s">
        <v>1189</v>
      </c>
      <c r="M274" s="5" t="str">
        <f ca="1">IFERROR(__xludf.DUMMYFUNCTION("GOOGLETRANSLATE(J274,""ar"",""en"")"),"age")</f>
        <v>age</v>
      </c>
      <c r="N274" s="6" t="s">
        <v>1190</v>
      </c>
      <c r="O274" s="10" t="s">
        <v>1191</v>
      </c>
    </row>
    <row r="275" spans="1:15" ht="20.100000000000001" customHeight="1" thickTop="1" thickBot="1">
      <c r="A275" s="1"/>
      <c r="B275" s="22">
        <v>274</v>
      </c>
      <c r="C275" s="22" t="s">
        <v>1192</v>
      </c>
      <c r="D275" s="22" t="s">
        <v>13</v>
      </c>
      <c r="E275" s="23" t="s">
        <v>1193</v>
      </c>
      <c r="F275" s="22" t="str">
        <f ca="1">IFERROR(__xludf.DUMMYFUNCTION("GOOGLETRANSLATE(E275,""ar"",""en"")"),"Zawiya Al-Khairat Grocery")</f>
        <v>Zawiya Al-Khairat Grocery</v>
      </c>
      <c r="G275" s="22" t="s">
        <v>3583</v>
      </c>
      <c r="H275" s="24" t="s">
        <v>3591</v>
      </c>
      <c r="I275" s="22" t="s">
        <v>3692</v>
      </c>
      <c r="J275" s="5" t="str">
        <f ca="1">IFERROR(__xludf.DUMMYFUNCTION("GOOGLETRANSLATE(G275,""ar"",""en"")"),"head")</f>
        <v>head</v>
      </c>
      <c r="K275" s="11"/>
      <c r="L275" s="11"/>
      <c r="M275" s="5" t="str">
        <f ca="1">IFERROR(__xludf.DUMMYFUNCTION("GOOGLETRANSLATE(J275,""ar"",""en"")"),"#VALUE!")</f>
        <v>#VALUE!</v>
      </c>
      <c r="N275" s="12" t="s">
        <v>1194</v>
      </c>
      <c r="O275" s="10" t="s">
        <v>1195</v>
      </c>
    </row>
    <row r="276" spans="1:15" ht="20.100000000000001" customHeight="1" thickTop="1" thickBot="1">
      <c r="A276" s="1"/>
      <c r="B276" s="22">
        <v>275</v>
      </c>
      <c r="C276" s="22" t="s">
        <v>1196</v>
      </c>
      <c r="D276" s="22" t="s">
        <v>13</v>
      </c>
      <c r="E276" s="22" t="s">
        <v>1197</v>
      </c>
      <c r="F276" s="22" t="str">
        <f ca="1">IFERROR(__xludf.DUMMYFUNCTION("GOOGLETRANSLATE(E276,""ar"",""en"")"),"Zawya Al-Muntazah Foundation")</f>
        <v>Zawya Al-Muntazah Foundation</v>
      </c>
      <c r="G276" s="22" t="s">
        <v>3583</v>
      </c>
      <c r="H276" s="24" t="s">
        <v>3591</v>
      </c>
      <c r="I276" s="22" t="s">
        <v>3692</v>
      </c>
      <c r="J276" s="5" t="str">
        <f ca="1">IFERROR(__xludf.DUMMYFUNCTION("GOOGLETRANSLATE(G276,""ar"",""en"")"),"head")</f>
        <v>head</v>
      </c>
      <c r="K276" s="5">
        <v>535062771</v>
      </c>
      <c r="L276" s="5" t="s">
        <v>1198</v>
      </c>
      <c r="M276" s="5" t="str">
        <f ca="1">IFERROR(__xludf.DUMMYFUNCTION("GOOGLETRANSLATE(J276,""ar"",""en"")"),"Abu Anas")</f>
        <v>Abu Anas</v>
      </c>
      <c r="N276" s="6" t="s">
        <v>1199</v>
      </c>
      <c r="O276" s="10" t="s">
        <v>1200</v>
      </c>
    </row>
    <row r="277" spans="1:15" ht="20.100000000000001" customHeight="1" thickTop="1" thickBot="1">
      <c r="A277" s="1"/>
      <c r="B277" s="22">
        <v>276</v>
      </c>
      <c r="C277" s="22" t="s">
        <v>1201</v>
      </c>
      <c r="D277" s="22" t="s">
        <v>13</v>
      </c>
      <c r="E277" s="23" t="s">
        <v>1202</v>
      </c>
      <c r="F277" s="22" t="str">
        <f ca="1">IFERROR(__xludf.DUMMYFUNCTION("GOOGLETRANSLATE(E277,""ar"",""en"")"),"Grocery store, Ras Tanura")</f>
        <v>Grocery store, Ras Tanura</v>
      </c>
      <c r="G277" s="22" t="s">
        <v>3583</v>
      </c>
      <c r="H277" s="24" t="s">
        <v>3591</v>
      </c>
      <c r="I277" s="22" t="s">
        <v>3692</v>
      </c>
      <c r="J277" s="5" t="str">
        <f ca="1">IFERROR(__xludf.DUMMYFUNCTION("GOOGLETRANSLATE(G277,""ar"",""en"")"),"head")</f>
        <v>head</v>
      </c>
      <c r="K277" s="11">
        <v>538078933</v>
      </c>
      <c r="L277" s="11" t="s">
        <v>1203</v>
      </c>
      <c r="M277" s="5" t="str">
        <f ca="1">IFERROR(__xludf.DUMMYFUNCTION("GOOGLETRANSLATE(J277,""ar"",""en"")"),"Abu Abdul Aziz")</f>
        <v>Abu Abdul Aziz</v>
      </c>
      <c r="N277" s="12"/>
      <c r="O277" s="13"/>
    </row>
    <row r="278" spans="1:15" ht="20.100000000000001" customHeight="1" thickTop="1" thickBot="1">
      <c r="A278" s="1"/>
      <c r="B278" s="22">
        <v>277</v>
      </c>
      <c r="C278" s="22" t="s">
        <v>1204</v>
      </c>
      <c r="D278" s="22" t="s">
        <v>13</v>
      </c>
      <c r="E278" s="22" t="s">
        <v>3688</v>
      </c>
      <c r="F278" s="22" t="str">
        <f ca="1">IFERROR(__xludf.DUMMYFUNCTION("GOOGLETRANSLATE(E278,""ar"",""en"")"),"#VALUE!")</f>
        <v>#VALUE!</v>
      </c>
      <c r="G278" s="22" t="s">
        <v>3583</v>
      </c>
      <c r="H278" s="24" t="s">
        <v>3591</v>
      </c>
      <c r="I278" s="22" t="s">
        <v>3692</v>
      </c>
      <c r="J278" s="5" t="str">
        <f ca="1">IFERROR(__xludf.DUMMYFUNCTION("GOOGLETRANSLATE(G278,""ar"",""en"")"),"#VALUE!")</f>
        <v>#VALUE!</v>
      </c>
      <c r="K278" s="5">
        <v>501315563</v>
      </c>
      <c r="L278" s="5"/>
      <c r="M278" s="5" t="str">
        <f ca="1">IFERROR(__xludf.DUMMYFUNCTION("GOOGLETRANSLATE(J278,""ar"",""en"")"),"#VALUE!")</f>
        <v>#VALUE!</v>
      </c>
      <c r="N278" s="6" t="s">
        <v>1205</v>
      </c>
      <c r="O278" s="10" t="s">
        <v>1206</v>
      </c>
    </row>
    <row r="279" spans="1:15" ht="20.100000000000001" customHeight="1" thickTop="1" thickBot="1">
      <c r="A279" s="1"/>
      <c r="B279" s="22">
        <v>278</v>
      </c>
      <c r="C279" s="22" t="s">
        <v>1207</v>
      </c>
      <c r="D279" s="22" t="s">
        <v>13</v>
      </c>
      <c r="E279" s="23" t="s">
        <v>1208</v>
      </c>
      <c r="F279" s="22" t="str">
        <f ca="1">IFERROR(__xludf.DUMMYFUNCTION("GOOGLETRANSLATE(E279,""ar"",""en"")"),"Cloud Resources Foundation")</f>
        <v>Cloud Resources Foundation</v>
      </c>
      <c r="G279" s="22" t="s">
        <v>3583</v>
      </c>
      <c r="H279" s="24" t="s">
        <v>3591</v>
      </c>
      <c r="I279" s="22" t="s">
        <v>3692</v>
      </c>
      <c r="J279" s="5" t="str">
        <f ca="1">IFERROR(__xludf.DUMMYFUNCTION("GOOGLETRANSLATE(G279,""ar"",""en"")"),"head")</f>
        <v>head</v>
      </c>
      <c r="K279" s="11">
        <v>541197387</v>
      </c>
      <c r="L279" s="11"/>
      <c r="M279" s="5" t="str">
        <f ca="1">IFERROR(__xludf.DUMMYFUNCTION("GOOGLETRANSLATE(J279,""ar"",""en"")"),"#VALUE!")</f>
        <v>#VALUE!</v>
      </c>
      <c r="N279" s="12" t="s">
        <v>1209</v>
      </c>
      <c r="O279" s="10" t="s">
        <v>1210</v>
      </c>
    </row>
    <row r="280" spans="1:15" ht="20.100000000000001" customHeight="1" thickTop="1" thickBot="1">
      <c r="A280" s="1"/>
      <c r="B280" s="22">
        <v>279</v>
      </c>
      <c r="C280" s="22" t="s">
        <v>1211</v>
      </c>
      <c r="D280" s="22" t="s">
        <v>13</v>
      </c>
      <c r="E280" s="22" t="s">
        <v>1212</v>
      </c>
      <c r="F280" s="22" t="str">
        <f ca="1">IFERROR(__xludf.DUMMYFUNCTION("GOOGLETRANSLATE(E280,""ar"",""en"")"),"First Basket Supplies")</f>
        <v>First Basket Supplies</v>
      </c>
      <c r="G280" s="22" t="s">
        <v>3582</v>
      </c>
      <c r="H280" s="24" t="s">
        <v>3590</v>
      </c>
      <c r="I280" s="22" t="s">
        <v>3624</v>
      </c>
      <c r="J280" s="5" t="str">
        <f ca="1">IFERROR(__xludf.DUMMYFUNCTION("GOOGLETRANSLATE(G280,""ar"",""en"")"),"flowers")</f>
        <v>flowers</v>
      </c>
      <c r="K280" s="5"/>
      <c r="L280" s="5"/>
      <c r="M280" s="5" t="str">
        <f ca="1">IFERROR(__xludf.DUMMYFUNCTION("GOOGLETRANSLATE(J280,""ar"",""en"")"),"#VALUE!")</f>
        <v>#VALUE!</v>
      </c>
      <c r="N280" s="6" t="s">
        <v>1213</v>
      </c>
      <c r="O280" s="10" t="s">
        <v>1214</v>
      </c>
    </row>
    <row r="281" spans="1:15" ht="20.100000000000001" customHeight="1" thickTop="1" thickBot="1">
      <c r="A281" s="1"/>
      <c r="B281" s="22">
        <v>280</v>
      </c>
      <c r="C281" s="22" t="s">
        <v>1215</v>
      </c>
      <c r="D281" s="22" t="s">
        <v>13</v>
      </c>
      <c r="E281" s="23" t="s">
        <v>1216</v>
      </c>
      <c r="F281" s="22" t="str">
        <f ca="1">IFERROR(__xludf.DUMMYFUNCTION("GOOGLETRANSLATE(E281,""ar"",""en"")"),"Al Muntazah Markets")</f>
        <v>Al Muntazah Markets</v>
      </c>
      <c r="G281" s="22" t="s">
        <v>3582</v>
      </c>
      <c r="H281" s="24" t="s">
        <v>3590</v>
      </c>
      <c r="I281" s="23" t="s">
        <v>3624</v>
      </c>
      <c r="J281" s="5" t="str">
        <f ca="1">IFERROR(__xludf.DUMMYFUNCTION("GOOGLETRANSLATE(G281,""ar"",""en"")"),"flowers")</f>
        <v>flowers</v>
      </c>
      <c r="K281" s="11"/>
      <c r="L281" s="11"/>
      <c r="M281" s="5" t="str">
        <f ca="1">IFERROR(__xludf.DUMMYFUNCTION("GOOGLETRANSLATE(J281,""ar"",""en"")"),"#VALUE!")</f>
        <v>#VALUE!</v>
      </c>
      <c r="N281" s="12" t="s">
        <v>1217</v>
      </c>
      <c r="O281" s="10" t="s">
        <v>1218</v>
      </c>
    </row>
    <row r="282" spans="1:15" ht="20.100000000000001" customHeight="1" thickTop="1" thickBot="1">
      <c r="A282" s="1"/>
      <c r="B282" s="22">
        <v>281</v>
      </c>
      <c r="C282" s="22" t="s">
        <v>1219</v>
      </c>
      <c r="D282" s="22" t="s">
        <v>13</v>
      </c>
      <c r="E282" s="22" t="s">
        <v>1220</v>
      </c>
      <c r="F282" s="22" t="str">
        <f ca="1">IFERROR(__xludf.DUMMYFUNCTION("GOOGLETRANSLATE(E282,""ar"",""en"")"),"Zarah Hill Chain Company")</f>
        <v>Zarah Hill Chain Company</v>
      </c>
      <c r="G282" s="22" t="s">
        <v>3582</v>
      </c>
      <c r="H282" s="24" t="s">
        <v>3590</v>
      </c>
      <c r="I282" s="22" t="s">
        <v>3624</v>
      </c>
      <c r="J282" s="5" t="str">
        <f ca="1">IFERROR(__xludf.DUMMYFUNCTION("GOOGLETRANSLATE(G282,""ar"",""en"")"),"Qatif flowers")</f>
        <v>Qatif flowers</v>
      </c>
      <c r="K282" s="5">
        <v>550670231</v>
      </c>
      <c r="L282" s="5"/>
      <c r="M282" s="5" t="str">
        <f ca="1">IFERROR(__xludf.DUMMYFUNCTION("GOOGLETRANSLATE(J282,""ar"",""en"")"),"#VALUE!")</f>
        <v>#VALUE!</v>
      </c>
      <c r="N282" s="6" t="s">
        <v>1221</v>
      </c>
      <c r="O282" s="10" t="s">
        <v>1222</v>
      </c>
    </row>
    <row r="283" spans="1:15" ht="20.100000000000001" customHeight="1" thickTop="1" thickBot="1">
      <c r="A283" s="1"/>
      <c r="B283" s="22">
        <v>282</v>
      </c>
      <c r="C283" s="22" t="s">
        <v>1223</v>
      </c>
      <c r="D283" s="22" t="s">
        <v>13</v>
      </c>
      <c r="E283" s="23" t="s">
        <v>577</v>
      </c>
      <c r="F283" s="22" t="str">
        <f ca="1">IFERROR(__xludf.DUMMYFUNCTION("GOOGLETRANSLATE(E283,""ar"",""en"")"),"Narges Company")</f>
        <v>Narges Company</v>
      </c>
      <c r="G283" s="22" t="s">
        <v>3582</v>
      </c>
      <c r="H283" s="24" t="s">
        <v>3590</v>
      </c>
      <c r="I283" s="23" t="s">
        <v>3624</v>
      </c>
      <c r="J283" s="5" t="str">
        <f ca="1">IFERROR(__xludf.DUMMYFUNCTION("GOOGLETRANSLATE(G283,""ar"",""en"")"),"Qatif flowers")</f>
        <v>Qatif flowers</v>
      </c>
      <c r="K283" s="11">
        <v>551975969</v>
      </c>
      <c r="L283" s="11"/>
      <c r="M283" s="5" t="str">
        <f ca="1">IFERROR(__xludf.DUMMYFUNCTION("GOOGLETRANSLATE(J283,""ar"",""en"")"),"#VALUE!")</f>
        <v>#VALUE!</v>
      </c>
      <c r="N283" s="12" t="s">
        <v>1224</v>
      </c>
      <c r="O283" s="10" t="s">
        <v>1225</v>
      </c>
    </row>
    <row r="284" spans="1:15" ht="20.100000000000001" customHeight="1" thickTop="1" thickBot="1">
      <c r="A284" s="1"/>
      <c r="B284" s="22">
        <v>283</v>
      </c>
      <c r="C284" s="22" t="s">
        <v>1226</v>
      </c>
      <c r="D284" s="22" t="s">
        <v>13</v>
      </c>
      <c r="E284" s="22" t="s">
        <v>1227</v>
      </c>
      <c r="F284" s="22" t="str">
        <f ca="1">IFERROR(__xludf.DUMMYFUNCTION("GOOGLETRANSLATE(E284,""ar"",""en"")"),"All Day Company")</f>
        <v>All Day Company</v>
      </c>
      <c r="G284" s="22" t="s">
        <v>3582</v>
      </c>
      <c r="H284" s="24" t="s">
        <v>3590</v>
      </c>
      <c r="I284" s="22" t="s">
        <v>3624</v>
      </c>
      <c r="J284" s="5" t="str">
        <f ca="1">IFERROR(__xludf.DUMMYFUNCTION("GOOGLETRANSLATE(G284,""ar"",""en"")"),"Qatif flowers")</f>
        <v>Qatif flowers</v>
      </c>
      <c r="K284" s="5"/>
      <c r="L284" s="5"/>
      <c r="M284" s="5" t="str">
        <f ca="1">IFERROR(__xludf.DUMMYFUNCTION("GOOGLETRANSLATE(J284,""ar"",""en"")"),"#VALUE!")</f>
        <v>#VALUE!</v>
      </c>
      <c r="N284" s="6" t="s">
        <v>1228</v>
      </c>
      <c r="O284" s="10" t="s">
        <v>1229</v>
      </c>
    </row>
    <row r="285" spans="1:15" ht="20.100000000000001" customHeight="1" thickTop="1" thickBot="1">
      <c r="A285" s="1"/>
      <c r="B285" s="22">
        <v>284</v>
      </c>
      <c r="C285" s="22" t="s">
        <v>1230</v>
      </c>
      <c r="D285" s="22" t="s">
        <v>13</v>
      </c>
      <c r="E285" s="23" t="s">
        <v>1231</v>
      </c>
      <c r="F285" s="22" t="str">
        <f ca="1">IFERROR(__xludf.DUMMYFUNCTION("GOOGLETRANSLATE(E285,""ar"",""en"")"),"Zadar markets")</f>
        <v>Zadar markets</v>
      </c>
      <c r="G285" s="22" t="s">
        <v>3582</v>
      </c>
      <c r="H285" s="24" t="s">
        <v>3590</v>
      </c>
      <c r="I285" s="23" t="s">
        <v>3624</v>
      </c>
      <c r="J285" s="5" t="str">
        <f ca="1">IFERROR(__xludf.DUMMYFUNCTION("GOOGLETRANSLATE(G285,""ar"",""en"")"),"flowers")</f>
        <v>flowers</v>
      </c>
      <c r="K285" s="11"/>
      <c r="L285" s="11"/>
      <c r="M285" s="5" t="str">
        <f ca="1">IFERROR(__xludf.DUMMYFUNCTION("GOOGLETRANSLATE(J285,""ar"",""en"")"),"#VALUE!")</f>
        <v>#VALUE!</v>
      </c>
      <c r="N285" s="12" t="s">
        <v>1232</v>
      </c>
      <c r="O285" s="10" t="s">
        <v>1233</v>
      </c>
    </row>
    <row r="286" spans="1:15" ht="20.100000000000001" customHeight="1" thickTop="1" thickBot="1">
      <c r="A286" s="1"/>
      <c r="B286" s="22">
        <v>285</v>
      </c>
      <c r="C286" s="22" t="s">
        <v>1234</v>
      </c>
      <c r="D286" s="22" t="s">
        <v>13</v>
      </c>
      <c r="E286" s="22" t="s">
        <v>1235</v>
      </c>
      <c r="F286" s="22" t="str">
        <f ca="1">IFERROR(__xludf.DUMMYFUNCTION("GOOGLETRANSLATE(E286,""ar"",""en"")"),"Food benefits")</f>
        <v>Food benefits</v>
      </c>
      <c r="G286" s="22" t="s">
        <v>3582</v>
      </c>
      <c r="H286" s="24" t="s">
        <v>3590</v>
      </c>
      <c r="I286" s="22" t="s">
        <v>3624</v>
      </c>
      <c r="J286" s="5" t="str">
        <f ca="1">IFERROR(__xludf.DUMMYFUNCTION("GOOGLETRANSLATE(G286,""ar"",""en"")"),"Qatif flowers")</f>
        <v>Qatif flowers</v>
      </c>
      <c r="K286" s="5"/>
      <c r="L286" s="5"/>
      <c r="M286" s="5" t="str">
        <f ca="1">IFERROR(__xludf.DUMMYFUNCTION("GOOGLETRANSLATE(J286,""ar"",""en"")"),"#VALUE!")</f>
        <v>#VALUE!</v>
      </c>
      <c r="N286" s="6" t="s">
        <v>1236</v>
      </c>
      <c r="O286" s="10" t="s">
        <v>1237</v>
      </c>
    </row>
    <row r="287" spans="1:15" ht="20.100000000000001" customHeight="1" thickTop="1" thickBot="1">
      <c r="A287" s="1"/>
      <c r="B287" s="22">
        <v>286</v>
      </c>
      <c r="C287" s="22" t="s">
        <v>1238</v>
      </c>
      <c r="D287" s="22" t="s">
        <v>13</v>
      </c>
      <c r="E287" s="23" t="s">
        <v>1239</v>
      </c>
      <c r="F287" s="22" t="str">
        <f ca="1">IFERROR(__xludf.DUMMYFUNCTION("GOOGLETRANSLATE(E287,""ar"",""en"")"),"Redef Matar Al-Mahri Supplies")</f>
        <v>Redef Matar Al-Mahri Supplies</v>
      </c>
      <c r="G287" s="22" t="s">
        <v>3582</v>
      </c>
      <c r="H287" s="24" t="s">
        <v>3590</v>
      </c>
      <c r="I287" s="23" t="s">
        <v>3625</v>
      </c>
      <c r="J287" s="5" t="str">
        <f ca="1">IFERROR(__xludf.DUMMYFUNCTION("GOOGLETRANSLATE(G287,""ar"",""en"")"),"Narcissus")</f>
        <v>Narcissus</v>
      </c>
      <c r="K287" s="11">
        <v>532114235</v>
      </c>
      <c r="L287" s="11" t="s">
        <v>1240</v>
      </c>
      <c r="M287" s="5" t="str">
        <f ca="1">IFERROR(__xludf.DUMMYFUNCTION("GOOGLETRANSLATE(J287,""ar"",""en"")"),"Obaid Al-Jabri")</f>
        <v>Obaid Al-Jabri</v>
      </c>
      <c r="N287" s="12" t="s">
        <v>1241</v>
      </c>
      <c r="O287" s="10" t="s">
        <v>1242</v>
      </c>
    </row>
    <row r="288" spans="1:15" ht="20.100000000000001" customHeight="1" thickTop="1" thickBot="1">
      <c r="A288" s="1"/>
      <c r="B288" s="22">
        <v>287</v>
      </c>
      <c r="C288" s="22" t="s">
        <v>1243</v>
      </c>
      <c r="D288" s="22" t="s">
        <v>13</v>
      </c>
      <c r="E288" s="22" t="s">
        <v>1244</v>
      </c>
      <c r="F288" s="22" t="str">
        <f ca="1">IFERROR(__xludf.DUMMYFUNCTION("GOOGLETRANSLATE(E288,""ar"",""en"")"),"Rabwa Zara Supplies")</f>
        <v>Rabwa Zara Supplies</v>
      </c>
      <c r="G288" s="22" t="s">
        <v>3582</v>
      </c>
      <c r="H288" s="24" t="s">
        <v>3590</v>
      </c>
      <c r="I288" s="22" t="s">
        <v>3626</v>
      </c>
      <c r="J288" s="5" t="str">
        <f ca="1">IFERROR(__xludf.DUMMYFUNCTION("GOOGLETRANSLATE(G288,""ar"",""en"")"),"Al-Awamiyah")</f>
        <v>Al-Awamiyah</v>
      </c>
      <c r="K288" s="5"/>
      <c r="L288" s="5"/>
      <c r="M288" s="5" t="str">
        <f ca="1">IFERROR(__xludf.DUMMYFUNCTION("GOOGLETRANSLATE(J288,""ar"",""en"")"),"#VALUE!")</f>
        <v>#VALUE!</v>
      </c>
      <c r="N288" s="6" t="s">
        <v>1245</v>
      </c>
      <c r="O288" s="10" t="s">
        <v>1246</v>
      </c>
    </row>
    <row r="289" spans="1:15" ht="20.100000000000001" customHeight="1" thickTop="1" thickBot="1">
      <c r="A289" s="1"/>
      <c r="B289" s="22">
        <v>288</v>
      </c>
      <c r="C289" s="22" t="s">
        <v>1247</v>
      </c>
      <c r="D289" s="22" t="s">
        <v>13</v>
      </c>
      <c r="E289" s="23" t="s">
        <v>1248</v>
      </c>
      <c r="F289" s="22" t="str">
        <f ca="1">IFERROR(__xludf.DUMMYFUNCTION("GOOGLETRANSLATE(E289,""ar"",""en"")"),"Thursday's supplies")</f>
        <v>Thursday's supplies</v>
      </c>
      <c r="G289" s="22" t="s">
        <v>3582</v>
      </c>
      <c r="H289" s="24" t="s">
        <v>3590</v>
      </c>
      <c r="I289" s="22" t="s">
        <v>3626</v>
      </c>
      <c r="J289" s="5" t="str">
        <f ca="1">IFERROR(__xludf.DUMMYFUNCTION("GOOGLETRANSLATE(G289,""ar"",""en"")"),"Al-Awamiyah")</f>
        <v>Al-Awamiyah</v>
      </c>
      <c r="K289" s="11">
        <v>538532486</v>
      </c>
      <c r="L289" s="11" t="s">
        <v>372</v>
      </c>
      <c r="M289" s="5" t="str">
        <f ca="1">IFERROR(__xludf.DUMMYFUNCTION("GOOGLETRANSLATE(J289,""ar"",""en"")"),"Abu Ali")</f>
        <v>Abu Ali</v>
      </c>
      <c r="N289" s="12" t="s">
        <v>1249</v>
      </c>
      <c r="O289" s="10" t="s">
        <v>1250</v>
      </c>
    </row>
    <row r="290" spans="1:15" ht="20.100000000000001" customHeight="1" thickTop="1" thickBot="1">
      <c r="A290" s="1"/>
      <c r="B290" s="22">
        <v>289</v>
      </c>
      <c r="C290" s="22" t="s">
        <v>1251</v>
      </c>
      <c r="D290" s="22" t="s">
        <v>13</v>
      </c>
      <c r="E290" s="22" t="s">
        <v>1252</v>
      </c>
      <c r="F290" s="22" t="str">
        <f ca="1">IFERROR(__xludf.DUMMYFUNCTION("GOOGLETRANSLATE(E290,""ar"",""en"")"),"Walakom Supplies")</f>
        <v>Walakom Supplies</v>
      </c>
      <c r="G290" s="22" t="s">
        <v>3582</v>
      </c>
      <c r="H290" s="24" t="s">
        <v>3590</v>
      </c>
      <c r="I290" s="22" t="s">
        <v>3626</v>
      </c>
      <c r="J290" s="5" t="str">
        <f ca="1">IFERROR(__xludf.DUMMYFUNCTION("GOOGLETRANSLATE(G290,""ar"",""en"")"),"Al-Awamiyah")</f>
        <v>Al-Awamiyah</v>
      </c>
      <c r="K290" s="5">
        <v>546291355</v>
      </c>
      <c r="L290" s="5" t="s">
        <v>1253</v>
      </c>
      <c r="M290" s="5" t="str">
        <f ca="1">IFERROR(__xludf.DUMMYFUNCTION("GOOGLETRANSLATE(J290,""ar"",""en"")"),"Anas")</f>
        <v>Anas</v>
      </c>
      <c r="N290" s="6" t="s">
        <v>1254</v>
      </c>
      <c r="O290" s="10" t="s">
        <v>1255</v>
      </c>
    </row>
    <row r="291" spans="1:15" ht="20.100000000000001" customHeight="1" thickTop="1" thickBot="1">
      <c r="A291" s="1"/>
      <c r="B291" s="22">
        <v>290</v>
      </c>
      <c r="C291" s="22" t="s">
        <v>1256</v>
      </c>
      <c r="D291" s="22" t="s">
        <v>13</v>
      </c>
      <c r="E291" s="23" t="s">
        <v>1257</v>
      </c>
      <c r="F291" s="22" t="str">
        <f ca="1">IFERROR(__xludf.DUMMYFUNCTION("GOOGLETRANSLATE(E291,""ar"",""en"")"),"Basket of Al-Baqir Supplies")</f>
        <v>Basket of Al-Baqir Supplies</v>
      </c>
      <c r="G291" s="22" t="s">
        <v>3582</v>
      </c>
      <c r="H291" s="24" t="s">
        <v>3590</v>
      </c>
      <c r="I291" s="22" t="s">
        <v>3626</v>
      </c>
      <c r="J291" s="5" t="str">
        <f ca="1">IFERROR(__xludf.DUMMYFUNCTION("GOOGLETRANSLATE(G291,""ar"",""en"")"),"Al-Awamiyah")</f>
        <v>Al-Awamiyah</v>
      </c>
      <c r="K291" s="11">
        <v>598042007</v>
      </c>
      <c r="L291" s="11"/>
      <c r="M291" s="5" t="str">
        <f ca="1">IFERROR(__xludf.DUMMYFUNCTION("GOOGLETRANSLATE(J291,""ar"",""en"")"),"#VALUE!")</f>
        <v>#VALUE!</v>
      </c>
      <c r="N291" s="12" t="s">
        <v>1258</v>
      </c>
      <c r="O291" s="10" t="s">
        <v>1259</v>
      </c>
    </row>
    <row r="292" spans="1:15" ht="20.100000000000001" customHeight="1" thickTop="1" thickBot="1">
      <c r="A292" s="1"/>
      <c r="B292" s="22">
        <v>291</v>
      </c>
      <c r="C292" s="22" t="s">
        <v>1260</v>
      </c>
      <c r="D292" s="22" t="s">
        <v>13</v>
      </c>
      <c r="E292" s="22" t="s">
        <v>1261</v>
      </c>
      <c r="F292" s="22" t="str">
        <f ca="1">IFERROR(__xludf.DUMMYFUNCTION("GOOGLETRANSLATE(E292,""ar"",""en"")"),"Ali Bin Abdullah Bin Ali Al-Faraj Supplies")</f>
        <v>Ali Bin Abdullah Bin Ali Al-Faraj Supplies</v>
      </c>
      <c r="G292" s="22" t="s">
        <v>3582</v>
      </c>
      <c r="H292" s="24" t="s">
        <v>3590</v>
      </c>
      <c r="I292" s="22" t="s">
        <v>3626</v>
      </c>
      <c r="J292" s="5" t="str">
        <f ca="1">IFERROR(__xludf.DUMMYFUNCTION("GOOGLETRANSLATE(G292,""ar"",""en"")"),"Al-Awamiyah")</f>
        <v>Al-Awamiyah</v>
      </c>
      <c r="K292" s="5">
        <v>506972226</v>
      </c>
      <c r="L292" s="5" t="s">
        <v>1262</v>
      </c>
      <c r="M292" s="5" t="str">
        <f ca="1">IFERROR(__xludf.DUMMYFUNCTION("GOOGLETRANSLATE(J292,""ar"",""en"")"),"Abu Haidar")</f>
        <v>Abu Haidar</v>
      </c>
      <c r="N292" s="6" t="s">
        <v>1263</v>
      </c>
      <c r="O292" s="10" t="s">
        <v>1264</v>
      </c>
    </row>
    <row r="293" spans="1:15" ht="20.100000000000001" customHeight="1" thickTop="1" thickBot="1">
      <c r="A293" s="1"/>
      <c r="B293" s="22">
        <v>292</v>
      </c>
      <c r="C293" s="22" t="s">
        <v>1265</v>
      </c>
      <c r="D293" s="22" t="s">
        <v>13</v>
      </c>
      <c r="E293" s="23" t="s">
        <v>1266</v>
      </c>
      <c r="F293" s="22" t="str">
        <f ca="1">IFERROR(__xludf.DUMMYFUNCTION("GOOGLETRANSLATE(E293,""ar"",""en"")"),"Ali Al-Abd Al-Ali Marketing Center")</f>
        <v>Ali Al-Abd Al-Ali Marketing Center</v>
      </c>
      <c r="G293" s="22" t="s">
        <v>3582</v>
      </c>
      <c r="H293" s="24" t="s">
        <v>3590</v>
      </c>
      <c r="I293" s="23" t="s">
        <v>3627</v>
      </c>
      <c r="J293" s="5" t="str">
        <f ca="1">IFERROR(__xludf.DUMMYFUNCTION("GOOGLETRANSLATE(G293,""ar"",""en"")"),"Al-Qudaih")</f>
        <v>Al-Qudaih</v>
      </c>
      <c r="K293" s="11">
        <v>550901041</v>
      </c>
      <c r="L293" s="11" t="s">
        <v>83</v>
      </c>
      <c r="M293" s="5" t="str">
        <f ca="1">IFERROR(__xludf.DUMMYFUNCTION("GOOGLETRANSLATE(J293,""ar"",""en"")"),"on")</f>
        <v>on</v>
      </c>
      <c r="N293" s="12" t="s">
        <v>1267</v>
      </c>
      <c r="O293" s="10" t="s">
        <v>1268</v>
      </c>
    </row>
    <row r="294" spans="1:15" ht="20.100000000000001" customHeight="1" thickTop="1" thickBot="1">
      <c r="A294" s="1"/>
      <c r="B294" s="22">
        <v>293</v>
      </c>
      <c r="C294" s="22" t="s">
        <v>1269</v>
      </c>
      <c r="D294" s="22" t="s">
        <v>13</v>
      </c>
      <c r="E294" s="22" t="s">
        <v>1235</v>
      </c>
      <c r="F294" s="22" t="str">
        <f ca="1">IFERROR(__xludf.DUMMYFUNCTION("GOOGLETRANSLATE(E294,""ar"",""en"")"),"Food benefits")</f>
        <v>Food benefits</v>
      </c>
      <c r="G294" s="22" t="s">
        <v>3582</v>
      </c>
      <c r="H294" s="24" t="s">
        <v>3590</v>
      </c>
      <c r="I294" s="22" t="s">
        <v>3628</v>
      </c>
      <c r="J294" s="5" t="str">
        <f ca="1">IFERROR(__xludf.DUMMYFUNCTION("GOOGLETRANSLATE(G294,""ar"",""en"")"),"Al-Qudaih, Qatif")</f>
        <v>Al-Qudaih, Qatif</v>
      </c>
      <c r="K294" s="5"/>
      <c r="L294" s="5"/>
      <c r="M294" s="5" t="str">
        <f ca="1">IFERROR(__xludf.DUMMYFUNCTION("GOOGLETRANSLATE(J294,""ar"",""en"")"),"#VALUE!")</f>
        <v>#VALUE!</v>
      </c>
      <c r="N294" s="6" t="s">
        <v>1270</v>
      </c>
      <c r="O294" s="10" t="s">
        <v>1271</v>
      </c>
    </row>
    <row r="295" spans="1:15" ht="20.100000000000001" customHeight="1" thickTop="1" thickBot="1">
      <c r="A295" s="1"/>
      <c r="B295" s="22">
        <v>294</v>
      </c>
      <c r="C295" s="22" t="s">
        <v>1272</v>
      </c>
      <c r="D295" s="22" t="s">
        <v>13</v>
      </c>
      <c r="E295" s="23" t="s">
        <v>1273</v>
      </c>
      <c r="F295" s="22" t="str">
        <f ca="1">IFERROR(__xludf.DUMMYFUNCTION("GOOGLETRANSLATE(E295,""ar"",""en"")"),"Top of the Line Corner Supplies")</f>
        <v>Top of the Line Corner Supplies</v>
      </c>
      <c r="G295" s="22" t="s">
        <v>3582</v>
      </c>
      <c r="H295" s="24" t="s">
        <v>3590</v>
      </c>
      <c r="I295" s="23" t="s">
        <v>3627</v>
      </c>
      <c r="J295" s="5" t="str">
        <f ca="1">IFERROR(__xludf.DUMMYFUNCTION("GOOGLETRANSLATE(G295,""ar"",""en"")"),"Al-Qudaih")</f>
        <v>Al-Qudaih</v>
      </c>
      <c r="K295" s="11">
        <v>532010612</v>
      </c>
      <c r="L295" s="11" t="s">
        <v>1274</v>
      </c>
      <c r="M295" s="5" t="str">
        <f ca="1">IFERROR(__xludf.DUMMYFUNCTION("GOOGLETRANSLATE(J295,""ar"",""en"")"),"Abu Saif")</f>
        <v>Abu Saif</v>
      </c>
      <c r="N295" s="12" t="s">
        <v>1275</v>
      </c>
      <c r="O295" s="10" t="s">
        <v>1276</v>
      </c>
    </row>
    <row r="296" spans="1:15" ht="20.100000000000001" customHeight="1" thickTop="1" thickBot="1">
      <c r="A296" s="1"/>
      <c r="B296" s="22">
        <v>295</v>
      </c>
      <c r="C296" s="22" t="s">
        <v>1277</v>
      </c>
      <c r="D296" s="22" t="s">
        <v>13</v>
      </c>
      <c r="E296" s="22" t="s">
        <v>3629</v>
      </c>
      <c r="F296" s="22" t="str">
        <f ca="1">IFERROR(__xludf.DUMMYFUNCTION("GOOGLETRANSLATE(E296,""ar"",""en"")"),"I can't let you into the shop if you only have one item.")</f>
        <v>I can't let you into the shop if you only have one item.</v>
      </c>
      <c r="G296" s="22" t="s">
        <v>3582</v>
      </c>
      <c r="H296" s="24" t="s">
        <v>3590</v>
      </c>
      <c r="I296" s="22" t="s">
        <v>3627</v>
      </c>
      <c r="J296" s="5" t="str">
        <f ca="1">IFERROR(__xludf.DUMMYFUNCTION("GOOGLETRANSLATE(G296,""ar"",""en"")"),"#VALUE!")</f>
        <v>#VALUE!</v>
      </c>
      <c r="K296" s="5"/>
      <c r="L296" s="5"/>
      <c r="M296" s="5" t="str">
        <f ca="1">IFERROR(__xludf.DUMMYFUNCTION("GOOGLETRANSLATE(J296,""ar"",""en"")"),"#VALUE!")</f>
        <v>#VALUE!</v>
      </c>
      <c r="N296" s="6" t="s">
        <v>1278</v>
      </c>
      <c r="O296" s="10" t="s">
        <v>1279</v>
      </c>
    </row>
    <row r="297" spans="1:15" ht="20.100000000000001" customHeight="1" thickTop="1" thickBot="1">
      <c r="A297" s="1"/>
      <c r="B297" s="22">
        <v>296</v>
      </c>
      <c r="C297" s="22" t="s">
        <v>1280</v>
      </c>
      <c r="D297" s="22" t="s">
        <v>13</v>
      </c>
      <c r="E297" s="23" t="s">
        <v>1281</v>
      </c>
      <c r="F297" s="22" t="str">
        <f ca="1">IFERROR(__xludf.DUMMYFUNCTION("GOOGLETRANSLATE(E297,""ar"",""en"")"),"Noor Al-Qaim Foundation")</f>
        <v>Noor Al-Qaim Foundation</v>
      </c>
      <c r="G297" s="22" t="s">
        <v>3582</v>
      </c>
      <c r="H297" s="24" t="s">
        <v>3590</v>
      </c>
      <c r="I297" s="23" t="s">
        <v>3630</v>
      </c>
      <c r="J297" s="5" t="str">
        <f ca="1">IFERROR(__xludf.DUMMYFUNCTION("GOOGLETRANSLATE(G297,""ar"",""en"")"),"Qatif")</f>
        <v>Qatif</v>
      </c>
      <c r="K297" s="11">
        <v>576585483</v>
      </c>
      <c r="L297" s="11"/>
      <c r="M297" s="5" t="str">
        <f ca="1">IFERROR(__xludf.DUMMYFUNCTION("GOOGLETRANSLATE(J297,""ar"",""en"")"),"#VALUE!")</f>
        <v>#VALUE!</v>
      </c>
      <c r="N297" s="12" t="s">
        <v>1282</v>
      </c>
      <c r="O297" s="10" t="s">
        <v>1283</v>
      </c>
    </row>
    <row r="298" spans="1:15" ht="20.100000000000001" customHeight="1" thickTop="1" thickBot="1">
      <c r="A298" s="1"/>
      <c r="B298" s="22">
        <v>297</v>
      </c>
      <c r="C298" s="22" t="s">
        <v>1284</v>
      </c>
      <c r="D298" s="22" t="s">
        <v>13</v>
      </c>
      <c r="E298" s="22" t="s">
        <v>1285</v>
      </c>
      <c r="F298" s="22" t="str">
        <f ca="1">IFERROR(__xludf.DUMMYFUNCTION("GOOGLETRANSLATE(E298,""ar"",""en"")"),"The main Marxists have the right to the Majidiya")</f>
        <v>The main Marxists have the right to the Majidiya</v>
      </c>
      <c r="G298" s="22" t="s">
        <v>3582</v>
      </c>
      <c r="H298" s="24" t="s">
        <v>3590</v>
      </c>
      <c r="I298" s="22" t="s">
        <v>3627</v>
      </c>
      <c r="J298" s="5" t="str">
        <f ca="1">IFERROR(__xludf.DUMMYFUNCTION("GOOGLETRANSLATE(G298,""ar"",""en"")"),"#VALUE!")</f>
        <v>#VALUE!</v>
      </c>
      <c r="K298" s="5"/>
      <c r="L298" s="5"/>
      <c r="M298" s="5" t="str">
        <f ca="1">IFERROR(__xludf.DUMMYFUNCTION("GOOGLETRANSLATE(J298,""ar"",""en"")"),"#VALUE!")</f>
        <v>#VALUE!</v>
      </c>
      <c r="N298" s="6" t="s">
        <v>1286</v>
      </c>
      <c r="O298" s="10" t="s">
        <v>1287</v>
      </c>
    </row>
    <row r="299" spans="1:15" ht="20.100000000000001" customHeight="1" thickTop="1" thickBot="1">
      <c r="A299" s="1"/>
      <c r="B299" s="22">
        <v>298</v>
      </c>
      <c r="C299" s="22" t="s">
        <v>1288</v>
      </c>
      <c r="D299" s="22" t="s">
        <v>13</v>
      </c>
      <c r="E299" s="23" t="s">
        <v>1289</v>
      </c>
      <c r="F299" s="22" t="str">
        <f ca="1">IFERROR(__xludf.DUMMYFUNCTION("GOOGLETRANSLATE(E299,""ar"",""en"")"),"Dana Al-Hawraa Supermarkets")</f>
        <v>Dana Al-Hawraa Supermarkets</v>
      </c>
      <c r="G299" s="22" t="s">
        <v>3582</v>
      </c>
      <c r="H299" s="24" t="s">
        <v>3590</v>
      </c>
      <c r="I299" s="23" t="s">
        <v>3631</v>
      </c>
      <c r="J299" s="5" t="str">
        <f ca="1">IFERROR(__xludf.DUMMYFUNCTION("GOOGLETRANSLATE(G299,""ar"",""en"")"),"Nazareth")</f>
        <v>Nazareth</v>
      </c>
      <c r="K299" s="11">
        <v>543691512</v>
      </c>
      <c r="L299" s="11"/>
      <c r="M299" s="5" t="str">
        <f ca="1">IFERROR(__xludf.DUMMYFUNCTION("GOOGLETRANSLATE(J299,""ar"",""en"")"),"#VALUE!")</f>
        <v>#VALUE!</v>
      </c>
      <c r="N299" s="12" t="s">
        <v>1290</v>
      </c>
      <c r="O299" s="10" t="s">
        <v>1291</v>
      </c>
    </row>
    <row r="300" spans="1:15" ht="20.100000000000001" customHeight="1" thickTop="1" thickBot="1">
      <c r="A300" s="1"/>
      <c r="B300" s="22">
        <v>299</v>
      </c>
      <c r="C300" s="22" t="s">
        <v>1292</v>
      </c>
      <c r="D300" s="22" t="s">
        <v>13</v>
      </c>
      <c r="E300" s="22" t="s">
        <v>1293</v>
      </c>
      <c r="F300" s="22" t="str">
        <f ca="1">IFERROR(__xludf.DUMMYFUNCTION("GOOGLETRANSLATE(E300,""ar"",""en"")"),"Nazareth Grocery")</f>
        <v>Nazareth Grocery</v>
      </c>
      <c r="G300" s="22" t="s">
        <v>3582</v>
      </c>
      <c r="H300" s="24" t="s">
        <v>3590</v>
      </c>
      <c r="I300" s="22" t="s">
        <v>3631</v>
      </c>
      <c r="J300" s="5" t="str">
        <f ca="1">IFERROR(__xludf.DUMMYFUNCTION("GOOGLETRANSLATE(G300,""ar"",""en"")"),"Nazareth")</f>
        <v>Nazareth</v>
      </c>
      <c r="K300" s="5">
        <v>566813249</v>
      </c>
      <c r="L300" s="5" t="s">
        <v>1294</v>
      </c>
      <c r="M300" s="5" t="str">
        <f ca="1">IFERROR(__xludf.DUMMYFUNCTION("GOOGLETRANSLATE(J300,""ar"",""en"")"),"Abu Hussein Al-Zein")</f>
        <v>Abu Hussein Al-Zein</v>
      </c>
      <c r="N300" s="6" t="s">
        <v>1295</v>
      </c>
      <c r="O300" s="10" t="s">
        <v>1296</v>
      </c>
    </row>
    <row r="301" spans="1:15" ht="20.100000000000001" customHeight="1" thickTop="1" thickBot="1">
      <c r="A301" s="1"/>
      <c r="B301" s="22">
        <v>300</v>
      </c>
      <c r="C301" s="22" t="s">
        <v>1297</v>
      </c>
      <c r="D301" s="22" t="s">
        <v>13</v>
      </c>
      <c r="E301" s="23" t="s">
        <v>1298</v>
      </c>
      <c r="F301" s="22" t="str">
        <f ca="1">IFERROR(__xludf.DUMMYFUNCTION("GOOGLETRANSLATE(E301,""ar"",""en"")"),"Al Rayyan Food Supplies")</f>
        <v>Al Rayyan Food Supplies</v>
      </c>
      <c r="G301" s="22" t="s">
        <v>3582</v>
      </c>
      <c r="H301" s="24" t="s">
        <v>3590</v>
      </c>
      <c r="I301" s="23" t="s">
        <v>3631</v>
      </c>
      <c r="J301" s="5" t="str">
        <f ca="1">IFERROR(__xludf.DUMMYFUNCTION("GOOGLETRANSLATE(G301,""ar"",""en"")"),"Nazareth")</f>
        <v>Nazareth</v>
      </c>
      <c r="K301" s="11">
        <v>548115770</v>
      </c>
      <c r="L301" s="11"/>
      <c r="M301" s="5" t="str">
        <f ca="1">IFERROR(__xludf.DUMMYFUNCTION("GOOGLETRANSLATE(J301,""ar"",""en"")"),"#VALUE!")</f>
        <v>#VALUE!</v>
      </c>
      <c r="N301" s="12" t="s">
        <v>1299</v>
      </c>
      <c r="O301" s="10" t="s">
        <v>1300</v>
      </c>
    </row>
    <row r="302" spans="1:15" ht="20.100000000000001" customHeight="1" thickTop="1" thickBot="1">
      <c r="A302" s="1"/>
      <c r="B302" s="22">
        <v>301</v>
      </c>
      <c r="C302" s="22" t="s">
        <v>1301</v>
      </c>
      <c r="D302" s="22" t="s">
        <v>13</v>
      </c>
      <c r="E302" s="22" t="s">
        <v>1302</v>
      </c>
      <c r="F302" s="22" t="str">
        <f ca="1">IFERROR(__xludf.DUMMYFUNCTION("GOOGLETRANSLATE(E302,""ar"",""en"")"),"horse")</f>
        <v>horse</v>
      </c>
      <c r="G302" s="22" t="s">
        <v>3582</v>
      </c>
      <c r="H302" s="24" t="s">
        <v>3590</v>
      </c>
      <c r="I302" s="22" t="s">
        <v>3631</v>
      </c>
      <c r="J302" s="5" t="str">
        <f ca="1">IFERROR(__xludf.DUMMYFUNCTION("GOOGLETRANSLATE(G302,""ar"",""en"")"),"Nazareth")</f>
        <v>Nazareth</v>
      </c>
      <c r="K302" s="5">
        <v>555886544</v>
      </c>
      <c r="L302" s="5"/>
      <c r="M302" s="5" t="str">
        <f ca="1">IFERROR(__xludf.DUMMYFUNCTION("GOOGLETRANSLATE(J302,""ar"",""en"")"),"#VALUE!")</f>
        <v>#VALUE!</v>
      </c>
      <c r="N302" s="6" t="s">
        <v>1303</v>
      </c>
      <c r="O302" s="10" t="s">
        <v>1304</v>
      </c>
    </row>
    <row r="303" spans="1:15" ht="20.100000000000001" customHeight="1" thickTop="1" thickBot="1">
      <c r="A303" s="1"/>
      <c r="B303" s="22">
        <v>302</v>
      </c>
      <c r="C303" s="22" t="s">
        <v>1305</v>
      </c>
      <c r="D303" s="22" t="s">
        <v>13</v>
      </c>
      <c r="E303" s="23" t="s">
        <v>1306</v>
      </c>
      <c r="F303" s="22" t="str">
        <f ca="1">IFERROR(__xludf.DUMMYFUNCTION("GOOGLETRANSLATE(E303,""ar"",""en"")"),"3D Foundation")</f>
        <v>3D Foundation</v>
      </c>
      <c r="G303" s="22" t="s">
        <v>3582</v>
      </c>
      <c r="H303" s="24" t="s">
        <v>3590</v>
      </c>
      <c r="I303" s="23" t="s">
        <v>3631</v>
      </c>
      <c r="J303" s="5" t="str">
        <f ca="1">IFERROR(__xludf.DUMMYFUNCTION("GOOGLETRANSLATE(G303,""ar"",""en"")"),"Nazareth")</f>
        <v>Nazareth</v>
      </c>
      <c r="K303" s="11">
        <v>572055598</v>
      </c>
      <c r="L303" s="11"/>
      <c r="M303" s="5" t="str">
        <f ca="1">IFERROR(__xludf.DUMMYFUNCTION("GOOGLETRANSLATE(J303,""ar"",""en"")"),"#VALUE!")</f>
        <v>#VALUE!</v>
      </c>
      <c r="N303" s="12" t="s">
        <v>1307</v>
      </c>
      <c r="O303" s="10" t="s">
        <v>1308</v>
      </c>
    </row>
    <row r="304" spans="1:15" ht="20.100000000000001" customHeight="1" thickTop="1" thickBot="1">
      <c r="A304" s="1"/>
      <c r="B304" s="22">
        <v>303</v>
      </c>
      <c r="C304" s="22" t="s">
        <v>1309</v>
      </c>
      <c r="D304" s="22" t="s">
        <v>13</v>
      </c>
      <c r="E304" s="22" t="s">
        <v>1310</v>
      </c>
      <c r="F304" s="22" t="str">
        <f ca="1">IFERROR(__xludf.DUMMYFUNCTION("GOOGLETRANSLATE(E304,""ar"",""en"")"),"Qamar Al-Ashira Supplies")</f>
        <v>Qamar Al-Ashira Supplies</v>
      </c>
      <c r="G304" s="22" t="s">
        <v>3582</v>
      </c>
      <c r="H304" s="24" t="s">
        <v>3590</v>
      </c>
      <c r="I304" s="22" t="s">
        <v>3631</v>
      </c>
      <c r="J304" s="5" t="str">
        <f ca="1">IFERROR(__xludf.DUMMYFUNCTION("GOOGLETRANSLATE(G304,""ar"",""en"")"),"Nazareth")</f>
        <v>Nazareth</v>
      </c>
      <c r="K304" s="5">
        <v>576646488</v>
      </c>
      <c r="L304" s="5" t="s">
        <v>83</v>
      </c>
      <c r="M304" s="5" t="str">
        <f ca="1">IFERROR(__xludf.DUMMYFUNCTION("GOOGLETRANSLATE(J304,""ar"",""en"")"),"on")</f>
        <v>on</v>
      </c>
      <c r="N304" s="6" t="s">
        <v>1311</v>
      </c>
      <c r="O304" s="10" t="s">
        <v>1312</v>
      </c>
    </row>
    <row r="305" spans="1:15" ht="20.100000000000001" customHeight="1" thickTop="1" thickBot="1">
      <c r="A305" s="1"/>
      <c r="B305" s="22">
        <v>304</v>
      </c>
      <c r="C305" s="22" t="s">
        <v>1313</v>
      </c>
      <c r="D305" s="22" t="s">
        <v>13</v>
      </c>
      <c r="E305" s="23" t="s">
        <v>1314</v>
      </c>
      <c r="F305" s="22" t="str">
        <f ca="1">IFERROR(__xludf.DUMMYFUNCTION("GOOGLETRANSLATE(E305,""ar"",""en"")"),"Future of Happiness Company")</f>
        <v>Future of Happiness Company</v>
      </c>
      <c r="G305" s="22" t="s">
        <v>3582</v>
      </c>
      <c r="H305" s="24" t="s">
        <v>3590</v>
      </c>
      <c r="I305" s="23" t="s">
        <v>3631</v>
      </c>
      <c r="J305" s="5" t="str">
        <f ca="1">IFERROR(__xludf.DUMMYFUNCTION("GOOGLETRANSLATE(G305,""ar"",""en"")"),"Nazareth")</f>
        <v>Nazareth</v>
      </c>
      <c r="K305" s="11"/>
      <c r="L305" s="11"/>
      <c r="M305" s="5" t="str">
        <f ca="1">IFERROR(__xludf.DUMMYFUNCTION("GOOGLETRANSLATE(J305,""ar"",""en"")"),"#VALUE!")</f>
        <v>#VALUE!</v>
      </c>
      <c r="N305" s="12" t="s">
        <v>1315</v>
      </c>
      <c r="O305" s="10" t="s">
        <v>1316</v>
      </c>
    </row>
    <row r="306" spans="1:15" ht="20.100000000000001" customHeight="1" thickTop="1" thickBot="1">
      <c r="A306" s="1"/>
      <c r="B306" s="22">
        <v>305</v>
      </c>
      <c r="C306" s="22" t="s">
        <v>1317</v>
      </c>
      <c r="D306" s="22" t="s">
        <v>13</v>
      </c>
      <c r="E306" s="22" t="s">
        <v>1318</v>
      </c>
      <c r="F306" s="22" t="str">
        <f ca="1">IFERROR(__xludf.DUMMYFUNCTION("GOOGLETRANSLATE(E306,""ar"",""en"")"),"Al-Batoul City Grocery")</f>
        <v>Al-Batoul City Grocery</v>
      </c>
      <c r="G306" s="22" t="s">
        <v>3582</v>
      </c>
      <c r="H306" s="24" t="s">
        <v>3590</v>
      </c>
      <c r="I306" s="22" t="s">
        <v>3631</v>
      </c>
      <c r="J306" s="5" t="str">
        <f ca="1">IFERROR(__xludf.DUMMYFUNCTION("GOOGLETRANSLATE(G306,""ar"",""en"")"),"Nazareth")</f>
        <v>Nazareth</v>
      </c>
      <c r="K306" s="5">
        <v>564185957</v>
      </c>
      <c r="L306" s="5"/>
      <c r="M306" s="5" t="str">
        <f ca="1">IFERROR(__xludf.DUMMYFUNCTION("GOOGLETRANSLATE(J306,""ar"",""en"")"),"#VALUE!")</f>
        <v>#VALUE!</v>
      </c>
      <c r="N306" s="6" t="s">
        <v>1319</v>
      </c>
      <c r="O306" s="10" t="s">
        <v>1320</v>
      </c>
    </row>
    <row r="307" spans="1:15" ht="20.100000000000001" customHeight="1" thickTop="1" thickBot="1">
      <c r="A307" s="1"/>
      <c r="B307" s="22">
        <v>306</v>
      </c>
      <c r="C307" s="22" t="s">
        <v>1321</v>
      </c>
      <c r="D307" s="22" t="s">
        <v>13</v>
      </c>
      <c r="E307" s="23" t="s">
        <v>1314</v>
      </c>
      <c r="F307" s="22" t="str">
        <f ca="1">IFERROR(__xludf.DUMMYFUNCTION("GOOGLETRANSLATE(E307,""ar"",""en"")"),"Future of Happiness Company")</f>
        <v>Future of Happiness Company</v>
      </c>
      <c r="G307" s="22" t="s">
        <v>3582</v>
      </c>
      <c r="H307" s="24" t="s">
        <v>3590</v>
      </c>
      <c r="I307" s="22" t="s">
        <v>3611</v>
      </c>
      <c r="J307" s="5" t="str">
        <f ca="1">IFERROR(__xludf.DUMMYFUNCTION("GOOGLETRANSLATE(G307,""ar"",""en"")"),"Al Rawdah, Qatif")</f>
        <v>Al Rawdah, Qatif</v>
      </c>
      <c r="K307" s="11"/>
      <c r="L307" s="11"/>
      <c r="M307" s="5" t="str">
        <f ca="1">IFERROR(__xludf.DUMMYFUNCTION("GOOGLETRANSLATE(J307,""ar"",""en"")"),"#VALUE!")</f>
        <v>#VALUE!</v>
      </c>
      <c r="N307" s="12" t="s">
        <v>1322</v>
      </c>
      <c r="O307" s="10" t="s">
        <v>1323</v>
      </c>
    </row>
    <row r="308" spans="1:15" ht="20.100000000000001" customHeight="1" thickTop="1" thickBot="1">
      <c r="A308" s="1"/>
      <c r="B308" s="22">
        <v>307</v>
      </c>
      <c r="C308" s="22" t="s">
        <v>1324</v>
      </c>
      <c r="D308" s="22" t="s">
        <v>13</v>
      </c>
      <c r="E308" s="22" t="s">
        <v>1325</v>
      </c>
      <c r="F308" s="22" t="str">
        <f ca="1">IFERROR(__xludf.DUMMYFUNCTION("GOOGLETRANSLATE(E308,""ar"",""en"")"),"I passed by it while it was closed")</f>
        <v>I passed by it while it was closed</v>
      </c>
      <c r="G308" s="22" t="s">
        <v>3582</v>
      </c>
      <c r="H308" s="24" t="s">
        <v>3590</v>
      </c>
      <c r="I308" s="22" t="s">
        <v>3611</v>
      </c>
      <c r="J308" s="5" t="str">
        <f ca="1">IFERROR(__xludf.DUMMYFUNCTION("GOOGLETRANSLATE(G308,""ar"",""en"")"),"#VALUE!")</f>
        <v>#VALUE!</v>
      </c>
      <c r="K308" s="5"/>
      <c r="L308" s="5" t="s">
        <v>1326</v>
      </c>
      <c r="M308" s="5" t="str">
        <f ca="1">IFERROR(__xludf.DUMMYFUNCTION("GOOGLETRANSLATE(J308,""ar"",""en"")"),"Al-Nashmi Trading - Al-Rawdah, Qatif")</f>
        <v>Al-Nashmi Trading - Al-Rawdah, Qatif</v>
      </c>
      <c r="N308" s="6" t="s">
        <v>1327</v>
      </c>
      <c r="O308" s="10" t="s">
        <v>1328</v>
      </c>
    </row>
    <row r="309" spans="1:15" ht="20.100000000000001" customHeight="1" thickTop="1" thickBot="1">
      <c r="A309" s="1"/>
      <c r="B309" s="22">
        <v>308</v>
      </c>
      <c r="C309" s="22" t="s">
        <v>1329</v>
      </c>
      <c r="D309" s="22" t="s">
        <v>13</v>
      </c>
      <c r="E309" s="23" t="s">
        <v>1330</v>
      </c>
      <c r="F309" s="22" t="str">
        <f ca="1">IFERROR(__xludf.DUMMYFUNCTION("GOOGLETRANSLATE(E309,""ar"",""en"")"),"Al-Siraj Al-Munir Grocery")</f>
        <v>Al-Siraj Al-Munir Grocery</v>
      </c>
      <c r="G309" s="22" t="s">
        <v>3582</v>
      </c>
      <c r="H309" s="24" t="s">
        <v>3590</v>
      </c>
      <c r="I309" s="22" t="s">
        <v>3611</v>
      </c>
      <c r="J309" s="5" t="str">
        <f ca="1">IFERROR(__xludf.DUMMYFUNCTION("GOOGLETRANSLATE(G309,""ar"",""en"")"),"Kindergarten")</f>
        <v>Kindergarten</v>
      </c>
      <c r="K309" s="11">
        <v>558112247</v>
      </c>
      <c r="L309" s="11" t="s">
        <v>372</v>
      </c>
      <c r="M309" s="5" t="str">
        <f ca="1">IFERROR(__xludf.DUMMYFUNCTION("GOOGLETRANSLATE(J309,""ar"",""en"")"),"Abu Ali")</f>
        <v>Abu Ali</v>
      </c>
      <c r="N309" s="12" t="s">
        <v>1331</v>
      </c>
      <c r="O309" s="10" t="s">
        <v>1332</v>
      </c>
    </row>
    <row r="310" spans="1:15" ht="20.100000000000001" customHeight="1" thickTop="1" thickBot="1">
      <c r="A310" s="1"/>
      <c r="B310" s="22">
        <v>309</v>
      </c>
      <c r="C310" s="22" t="s">
        <v>1333</v>
      </c>
      <c r="D310" s="22" t="s">
        <v>13</v>
      </c>
      <c r="E310" s="22" t="s">
        <v>1334</v>
      </c>
      <c r="F310" s="22" t="str">
        <f ca="1">IFERROR(__xludf.DUMMYFUNCTION("GOOGLETRANSLATE(E310,""ar"",""en"")"),"Al-Zainabiyah Grocery")</f>
        <v>Al-Zainabiyah Grocery</v>
      </c>
      <c r="G310" s="22" t="s">
        <v>3582</v>
      </c>
      <c r="H310" s="24" t="s">
        <v>3590</v>
      </c>
      <c r="I310" s="23" t="s">
        <v>3035</v>
      </c>
      <c r="J310" s="5" t="str">
        <f ca="1">IFERROR(__xludf.DUMMYFUNCTION("GOOGLETRANSLATE(G310,""ar"",""en"")"),"Oasis")</f>
        <v>Oasis</v>
      </c>
      <c r="K310" s="5"/>
      <c r="L310" s="5"/>
      <c r="M310" s="5" t="str">
        <f ca="1">IFERROR(__xludf.DUMMYFUNCTION("GOOGLETRANSLATE(J310,""ar"",""en"")"),"#VALUE!")</f>
        <v>#VALUE!</v>
      </c>
      <c r="N310" s="6" t="s">
        <v>1335</v>
      </c>
      <c r="O310" s="10" t="s">
        <v>1336</v>
      </c>
    </row>
    <row r="311" spans="1:15" ht="20.100000000000001" customHeight="1" thickTop="1" thickBot="1">
      <c r="A311" s="1"/>
      <c r="B311" s="22">
        <v>310</v>
      </c>
      <c r="C311" s="22" t="s">
        <v>1337</v>
      </c>
      <c r="D311" s="22" t="s">
        <v>13</v>
      </c>
      <c r="E311" s="23" t="s">
        <v>1338</v>
      </c>
      <c r="F311" s="22" t="str">
        <f ca="1">IFERROR(__xludf.DUMMYFUNCTION("GOOGLETRANSLATE(E311,""ar"",""en"")"),"Munir Youssef Yacoub Soueif Foundation")</f>
        <v>Munir Youssef Yacoub Soueif Foundation</v>
      </c>
      <c r="G311" s="22" t="s">
        <v>3582</v>
      </c>
      <c r="H311" s="24" t="s">
        <v>3590</v>
      </c>
      <c r="I311" s="23" t="s">
        <v>3035</v>
      </c>
      <c r="J311" s="5" t="str">
        <f ca="1">IFERROR(__xludf.DUMMYFUNCTION("GOOGLETRANSLATE(G311,""ar"",""en"")"),"Oasis")</f>
        <v>Oasis</v>
      </c>
      <c r="K311" s="11"/>
      <c r="L311" s="11"/>
      <c r="M311" s="5" t="str">
        <f ca="1">IFERROR(__xludf.DUMMYFUNCTION("GOOGLETRANSLATE(J311,""ar"",""en"")"),"#VALUE!")</f>
        <v>#VALUE!</v>
      </c>
      <c r="N311" s="12" t="s">
        <v>1339</v>
      </c>
      <c r="O311" s="10" t="s">
        <v>1340</v>
      </c>
    </row>
    <row r="312" spans="1:15" ht="20.100000000000001" customHeight="1" thickTop="1" thickBot="1">
      <c r="A312" s="1"/>
      <c r="B312" s="22">
        <v>311</v>
      </c>
      <c r="C312" s="22" t="s">
        <v>1341</v>
      </c>
      <c r="D312" s="22" t="s">
        <v>13</v>
      </c>
      <c r="E312" s="22" t="s">
        <v>1342</v>
      </c>
      <c r="F312" s="22" t="str">
        <f ca="1">IFERROR(__xludf.DUMMYFUNCTION("GOOGLETRANSLATE(E312,""ar"",""en"")"),"Happiness Walkway Supermarkets")</f>
        <v>Happiness Walkway Supermarkets</v>
      </c>
      <c r="G312" s="22" t="s">
        <v>3582</v>
      </c>
      <c r="H312" s="24" t="s">
        <v>3590</v>
      </c>
      <c r="I312" s="23" t="s">
        <v>3035</v>
      </c>
      <c r="J312" s="5" t="str">
        <f ca="1">IFERROR(__xludf.DUMMYFUNCTION("GOOGLETRANSLATE(G312,""ar"",""en"")"),"Oasis")</f>
        <v>Oasis</v>
      </c>
      <c r="K312" s="5">
        <v>554637274</v>
      </c>
      <c r="L312" s="5" t="s">
        <v>1343</v>
      </c>
      <c r="M312" s="5" t="str">
        <f ca="1">IFERROR(__xludf.DUMMYFUNCTION("GOOGLETRANSLATE(J312,""ar"",""en"")"),"Ashraf Al-Badani")</f>
        <v>Ashraf Al-Badani</v>
      </c>
      <c r="N312" s="6" t="s">
        <v>1344</v>
      </c>
      <c r="O312" s="10" t="s">
        <v>1345</v>
      </c>
    </row>
    <row r="313" spans="1:15" ht="20.100000000000001" customHeight="1" thickTop="1" thickBot="1">
      <c r="A313" s="1"/>
      <c r="B313" s="22">
        <v>312</v>
      </c>
      <c r="C313" s="22" t="s">
        <v>1346</v>
      </c>
      <c r="D313" s="22" t="s">
        <v>13</v>
      </c>
      <c r="E313" s="23" t="s">
        <v>1347</v>
      </c>
      <c r="F313" s="22" t="str">
        <f ca="1">IFERROR(__xludf.DUMMYFUNCTION("GOOGLETRANSLATE(E313,""ar"",""en"")"),"Shams Supplies")</f>
        <v>Shams Supplies</v>
      </c>
      <c r="G313" s="22" t="s">
        <v>3582</v>
      </c>
      <c r="H313" s="24" t="s">
        <v>3590</v>
      </c>
      <c r="I313" s="23" t="s">
        <v>3035</v>
      </c>
      <c r="J313" s="5" t="str">
        <f ca="1">IFERROR(__xludf.DUMMYFUNCTION("GOOGLETRANSLATE(G313,""ar"",""en"")"),"Oasis")</f>
        <v>Oasis</v>
      </c>
      <c r="K313" s="11">
        <v>570520309</v>
      </c>
      <c r="L313" s="11" t="s">
        <v>1348</v>
      </c>
      <c r="M313" s="5" t="str">
        <f ca="1">IFERROR(__xludf.DUMMYFUNCTION("GOOGLETRANSLATE(J313,""ar"",""en"")"),"Ehab Tawfik")</f>
        <v>Ehab Tawfik</v>
      </c>
      <c r="N313" s="12" t="s">
        <v>1349</v>
      </c>
      <c r="O313" s="10" t="s">
        <v>1350</v>
      </c>
    </row>
    <row r="314" spans="1:15" ht="20.100000000000001" customHeight="1" thickTop="1" thickBot="1">
      <c r="A314" s="1"/>
      <c r="B314" s="22">
        <v>313</v>
      </c>
      <c r="C314" s="22" t="s">
        <v>1351</v>
      </c>
      <c r="D314" s="22" t="s">
        <v>13</v>
      </c>
      <c r="E314" s="22" t="s">
        <v>1352</v>
      </c>
      <c r="F314" s="22" t="str">
        <f ca="1">IFERROR(__xludf.DUMMYFUNCTION("GOOGLETRANSLATE(E314,""ar"",""en"")"),"Bab Al-Aish Grocery")</f>
        <v>Bab Al-Aish Grocery</v>
      </c>
      <c r="G314" s="22" t="s">
        <v>3582</v>
      </c>
      <c r="H314" s="24" t="s">
        <v>3590</v>
      </c>
      <c r="I314" s="22" t="s">
        <v>3611</v>
      </c>
      <c r="J314" s="5" t="str">
        <f ca="1">IFERROR(__xludf.DUMMYFUNCTION("GOOGLETRANSLATE(G314,""ar"",""en"")"),"Kindergarten")</f>
        <v>Kindergarten</v>
      </c>
      <c r="K314" s="5">
        <v>598452323</v>
      </c>
      <c r="L314" s="5"/>
      <c r="M314" s="5" t="str">
        <f ca="1">IFERROR(__xludf.DUMMYFUNCTION("GOOGLETRANSLATE(J314,""ar"",""en"")"),"#VALUE!")</f>
        <v>#VALUE!</v>
      </c>
      <c r="N314" s="6" t="s">
        <v>1353</v>
      </c>
      <c r="O314" s="10" t="s">
        <v>1354</v>
      </c>
    </row>
    <row r="315" spans="1:15" ht="20.100000000000001" customHeight="1" thickTop="1" thickBot="1">
      <c r="A315" s="1"/>
      <c r="B315" s="22">
        <v>314</v>
      </c>
      <c r="C315" s="22" t="s">
        <v>1355</v>
      </c>
      <c r="D315" s="22" t="s">
        <v>13</v>
      </c>
      <c r="E315" s="23" t="s">
        <v>1356</v>
      </c>
      <c r="F315" s="22" t="str">
        <f ca="1">IFERROR(__xludf.DUMMYFUNCTION("GOOGLETRANSLATE(E315,""ar"",""en"")"),"Corner Grocery Foundation")</f>
        <v>Corner Grocery Foundation</v>
      </c>
      <c r="G315" s="22" t="s">
        <v>3582</v>
      </c>
      <c r="H315" s="24" t="s">
        <v>3590</v>
      </c>
      <c r="I315" s="22" t="s">
        <v>3611</v>
      </c>
      <c r="J315" s="5" t="str">
        <f ca="1">IFERROR(__xludf.DUMMYFUNCTION("GOOGLETRANSLATE(G315,""ar"",""en"")"),"Kindergarten")</f>
        <v>Kindergarten</v>
      </c>
      <c r="K315" s="11">
        <v>543235455</v>
      </c>
      <c r="L315" s="11"/>
      <c r="M315" s="5" t="str">
        <f ca="1">IFERROR(__xludf.DUMMYFUNCTION("GOOGLETRANSLATE(J315,""ar"",""en"")"),"#VALUE!")</f>
        <v>#VALUE!</v>
      </c>
      <c r="N315" s="12" t="s">
        <v>1357</v>
      </c>
      <c r="O315" s="10" t="s">
        <v>1358</v>
      </c>
    </row>
    <row r="316" spans="1:15" ht="20.100000000000001" customHeight="1" thickTop="1" thickBot="1">
      <c r="A316" s="1"/>
      <c r="B316" s="22">
        <v>315</v>
      </c>
      <c r="C316" s="22" t="s">
        <v>1359</v>
      </c>
      <c r="D316" s="22" t="s">
        <v>13</v>
      </c>
      <c r="E316" s="22" t="s">
        <v>1360</v>
      </c>
      <c r="F316" s="22" t="str">
        <f ca="1">IFERROR(__xludf.DUMMYFUNCTION("GOOGLETRANSLATE(E316,""ar"",""en"")"),"Fatima's Supplies")</f>
        <v>Fatima's Supplies</v>
      </c>
      <c r="G316" s="22" t="s">
        <v>3582</v>
      </c>
      <c r="H316" s="24" t="s">
        <v>3590</v>
      </c>
      <c r="I316" s="22" t="s">
        <v>3611</v>
      </c>
      <c r="J316" s="5" t="str">
        <f ca="1">IFERROR(__xludf.DUMMYFUNCTION("GOOGLETRANSLATE(G316,""ar"",""en"")"),"Kindergarten")</f>
        <v>Kindergarten</v>
      </c>
      <c r="K316" s="5">
        <v>502597056</v>
      </c>
      <c r="L316" s="5"/>
      <c r="M316" s="5" t="str">
        <f ca="1">IFERROR(__xludf.DUMMYFUNCTION("GOOGLETRANSLATE(J316,""ar"",""en"")"),"#VALUE!")</f>
        <v>#VALUE!</v>
      </c>
      <c r="N316" s="6" t="s">
        <v>1361</v>
      </c>
      <c r="O316" s="10" t="s">
        <v>1362</v>
      </c>
    </row>
    <row r="317" spans="1:15" ht="20.100000000000001" customHeight="1" thickTop="1" thickBot="1">
      <c r="A317" s="1"/>
      <c r="B317" s="22">
        <v>316</v>
      </c>
      <c r="C317" s="22" t="s">
        <v>1363</v>
      </c>
      <c r="D317" s="22" t="s">
        <v>13</v>
      </c>
      <c r="E317" s="23" t="s">
        <v>1364</v>
      </c>
      <c r="F317" s="22" t="str">
        <f ca="1">IFERROR(__xludf.DUMMYFUNCTION("GOOGLETRANSLATE(E317,""ar"",""en"")"),"Save and live")</f>
        <v>Save and live</v>
      </c>
      <c r="G317" s="22" t="s">
        <v>3582</v>
      </c>
      <c r="H317" s="24" t="s">
        <v>3590</v>
      </c>
      <c r="I317" s="22" t="s">
        <v>3611</v>
      </c>
      <c r="J317" s="5" t="str">
        <f ca="1">IFERROR(__xludf.DUMMYFUNCTION("GOOGLETRANSLATE(G317,""ar"",""en"")"),"Kindergarten")</f>
        <v>Kindergarten</v>
      </c>
      <c r="K317" s="11">
        <v>577907081</v>
      </c>
      <c r="L317" s="11"/>
      <c r="M317" s="5" t="str">
        <f ca="1">IFERROR(__xludf.DUMMYFUNCTION("GOOGLETRANSLATE(J317,""ar"",""en"")"),"#VALUE!")</f>
        <v>#VALUE!</v>
      </c>
      <c r="N317" s="12" t="s">
        <v>1365</v>
      </c>
      <c r="O317" s="10" t="s">
        <v>1366</v>
      </c>
    </row>
    <row r="318" spans="1:15" ht="20.100000000000001" customHeight="1" thickTop="1" thickBot="1">
      <c r="A318" s="1"/>
      <c r="B318" s="22">
        <v>317</v>
      </c>
      <c r="C318" s="22" t="s">
        <v>1367</v>
      </c>
      <c r="D318" s="22" t="s">
        <v>13</v>
      </c>
      <c r="E318" s="22" t="s">
        <v>1085</v>
      </c>
      <c r="F318" s="22" t="str">
        <f ca="1">IFERROR(__xludf.DUMMYFUNCTION("GOOGLETRANSLATE(E318,""ar"",""en"")"),"Al-Dhahab Supplies")</f>
        <v>Al-Dhahab Supplies</v>
      </c>
      <c r="G318" s="22" t="s">
        <v>3582</v>
      </c>
      <c r="H318" s="24" t="s">
        <v>3590</v>
      </c>
      <c r="I318" s="22" t="s">
        <v>3611</v>
      </c>
      <c r="J318" s="5" t="str">
        <f ca="1">IFERROR(__xludf.DUMMYFUNCTION("GOOGLETRANSLATE(G318,""ar"",""en"")"),"Kindergarten")</f>
        <v>Kindergarten</v>
      </c>
      <c r="K318" s="5">
        <v>539895331</v>
      </c>
      <c r="L318" s="5"/>
      <c r="M318" s="5" t="str">
        <f ca="1">IFERROR(__xludf.DUMMYFUNCTION("GOOGLETRANSLATE(J318,""ar"",""en"")"),"#VALUE!")</f>
        <v>#VALUE!</v>
      </c>
      <c r="N318" s="6" t="s">
        <v>1368</v>
      </c>
      <c r="O318" s="10" t="s">
        <v>1369</v>
      </c>
    </row>
    <row r="319" spans="1:15" ht="20.100000000000001" customHeight="1" thickTop="1" thickBot="1">
      <c r="A319" s="1"/>
      <c r="B319" s="22">
        <v>318</v>
      </c>
      <c r="C319" s="22" t="s">
        <v>1370</v>
      </c>
      <c r="D319" s="22" t="s">
        <v>13</v>
      </c>
      <c r="E319" s="23" t="s">
        <v>1371</v>
      </c>
      <c r="F319" s="22" t="str">
        <f ca="1">IFERROR(__xludf.DUMMYFUNCTION("GOOGLETRANSLATE(E319,""ar"",""en"")"),"Sarah Al-Sakiri's Supplies")</f>
        <v>Sarah Al-Sakiri's Supplies</v>
      </c>
      <c r="G319" s="22" t="s">
        <v>3582</v>
      </c>
      <c r="H319" s="24" t="s">
        <v>3590</v>
      </c>
      <c r="I319" s="22" t="s">
        <v>3611</v>
      </c>
      <c r="J319" s="5" t="str">
        <f ca="1">IFERROR(__xludf.DUMMYFUNCTION("GOOGLETRANSLATE(G319,""ar"",""en"")"),"Kindergarten")</f>
        <v>Kindergarten</v>
      </c>
      <c r="K319" s="11">
        <v>557197624</v>
      </c>
      <c r="L319" s="11"/>
      <c r="M319" s="5" t="str">
        <f ca="1">IFERROR(__xludf.DUMMYFUNCTION("GOOGLETRANSLATE(J319,""ar"",""en"")"),"#VALUE!")</f>
        <v>#VALUE!</v>
      </c>
      <c r="N319" s="12" t="s">
        <v>1372</v>
      </c>
      <c r="O319" s="10" t="s">
        <v>1373</v>
      </c>
    </row>
    <row r="320" spans="1:15" ht="20.100000000000001" customHeight="1" thickTop="1" thickBot="1">
      <c r="A320" s="1"/>
      <c r="B320" s="22">
        <v>319</v>
      </c>
      <c r="C320" s="22" t="s">
        <v>1374</v>
      </c>
      <c r="D320" s="22" t="s">
        <v>13</v>
      </c>
      <c r="E320" s="22" t="s">
        <v>1375</v>
      </c>
      <c r="F320" s="22" t="str">
        <f ca="1">IFERROR(__xludf.DUMMYFUNCTION("GOOGLETRANSLATE(E320,""ar"",""en"")"),"Customs Markets 3")</f>
        <v>Customs Markets 3</v>
      </c>
      <c r="G320" s="22" t="s">
        <v>3582</v>
      </c>
      <c r="H320" s="24" t="s">
        <v>3590</v>
      </c>
      <c r="I320" s="22" t="s">
        <v>3611</v>
      </c>
      <c r="J320" s="5" t="str">
        <f ca="1">IFERROR(__xludf.DUMMYFUNCTION("GOOGLETRANSLATE(G320,""ar"",""en"")"),"Kindergarten")</f>
        <v>Kindergarten</v>
      </c>
      <c r="K320" s="5"/>
      <c r="L320" s="5"/>
      <c r="M320" s="5" t="str">
        <f ca="1">IFERROR(__xludf.DUMMYFUNCTION("GOOGLETRANSLATE(J320,""ar"",""en"")"),"#VALUE!")</f>
        <v>#VALUE!</v>
      </c>
      <c r="N320" s="6" t="s">
        <v>1376</v>
      </c>
      <c r="O320" s="10" t="s">
        <v>1377</v>
      </c>
    </row>
    <row r="321" spans="1:15" ht="20.100000000000001" customHeight="1" thickTop="1" thickBot="1">
      <c r="A321" s="1"/>
      <c r="B321" s="22">
        <v>320</v>
      </c>
      <c r="C321" s="22" t="s">
        <v>1378</v>
      </c>
      <c r="D321" s="22" t="s">
        <v>13</v>
      </c>
      <c r="E321" s="23" t="s">
        <v>1379</v>
      </c>
      <c r="F321" s="22" t="str">
        <f ca="1">IFERROR(__xludf.DUMMYFUNCTION("GOOGLETRANSLATE(E321,""ar"",""en"")"),"Zad Foundation, Al-Ghadir Minarets")</f>
        <v>Zad Foundation, Al-Ghadir Minarets</v>
      </c>
      <c r="G321" s="22" t="s">
        <v>3582</v>
      </c>
      <c r="H321" s="24" t="s">
        <v>3590</v>
      </c>
      <c r="I321" s="23" t="s">
        <v>3632</v>
      </c>
      <c r="J321" s="5" t="str">
        <f ca="1">IFERROR(__xludf.DUMMYFUNCTION("GOOGLETRANSLATE(G321,""ar"",""en"")"),"Tarot")</f>
        <v>Tarot</v>
      </c>
      <c r="K321" s="11"/>
      <c r="L321" s="11"/>
      <c r="M321" s="5" t="str">
        <f ca="1">IFERROR(__xludf.DUMMYFUNCTION("GOOGLETRANSLATE(J321,""ar"",""en"")"),"#VALUE!")</f>
        <v>#VALUE!</v>
      </c>
      <c r="N321" s="12" t="s">
        <v>1380</v>
      </c>
      <c r="O321" s="10" t="s">
        <v>1381</v>
      </c>
    </row>
    <row r="322" spans="1:15" ht="20.100000000000001" customHeight="1" thickTop="1" thickBot="1">
      <c r="A322" s="1"/>
      <c r="B322" s="22">
        <v>321</v>
      </c>
      <c r="C322" s="22" t="s">
        <v>1382</v>
      </c>
      <c r="D322" s="22" t="s">
        <v>13</v>
      </c>
      <c r="E322" s="22" t="s">
        <v>1383</v>
      </c>
      <c r="F322" s="22" t="str">
        <f ca="1">IFERROR(__xludf.DUMMYFUNCTION("GOOGLETRANSLATE(E322,""ar"",""en"")"),"Barouq Al-Khair Supplies")</f>
        <v>Barouq Al-Khair Supplies</v>
      </c>
      <c r="G322" s="22" t="s">
        <v>3582</v>
      </c>
      <c r="H322" s="24" t="s">
        <v>3590</v>
      </c>
      <c r="I322" s="22" t="s">
        <v>3632</v>
      </c>
      <c r="J322" s="5" t="str">
        <f ca="1">IFERROR(__xludf.DUMMYFUNCTION("GOOGLETRANSLATE(G322,""ar"",""en"")"),"Tarot")</f>
        <v>Tarot</v>
      </c>
      <c r="K322" s="5">
        <v>551581996</v>
      </c>
      <c r="L322" s="5"/>
      <c r="M322" s="5" t="str">
        <f ca="1">IFERROR(__xludf.DUMMYFUNCTION("GOOGLETRANSLATE(J322,""ar"",""en"")"),"#VALUE!")</f>
        <v>#VALUE!</v>
      </c>
      <c r="N322" s="6" t="s">
        <v>1384</v>
      </c>
      <c r="O322" s="10" t="s">
        <v>1385</v>
      </c>
    </row>
    <row r="323" spans="1:15" ht="20.100000000000001" customHeight="1" thickTop="1" thickBot="1">
      <c r="A323" s="1"/>
      <c r="B323" s="22">
        <v>322</v>
      </c>
      <c r="C323" s="22" t="s">
        <v>1386</v>
      </c>
      <c r="D323" s="22" t="s">
        <v>13</v>
      </c>
      <c r="E323" s="23" t="s">
        <v>1387</v>
      </c>
      <c r="F323" s="22" t="str">
        <f ca="1">IFERROR(__xludf.DUMMYFUNCTION("GOOGLETRANSLATE(E323,""ar"",""en"")"),"Customary markets")</f>
        <v>Customary markets</v>
      </c>
      <c r="G323" s="22" t="s">
        <v>3582</v>
      </c>
      <c r="H323" s="24" t="s">
        <v>3590</v>
      </c>
      <c r="I323" s="23" t="s">
        <v>3645</v>
      </c>
      <c r="J323" s="5" t="str">
        <f ca="1">IFERROR(__xludf.DUMMYFUNCTION("GOOGLETRANSLATE(G323,""ar"",""en"")"),"Emerald")</f>
        <v>Emerald</v>
      </c>
      <c r="K323" s="11"/>
      <c r="L323" s="11"/>
      <c r="M323" s="5" t="str">
        <f ca="1">IFERROR(__xludf.DUMMYFUNCTION("GOOGLETRANSLATE(J323,""ar"",""en"")"),"#VALUE!")</f>
        <v>#VALUE!</v>
      </c>
      <c r="N323" s="12" t="s">
        <v>1388</v>
      </c>
      <c r="O323" s="10" t="s">
        <v>1389</v>
      </c>
    </row>
    <row r="324" spans="1:15" ht="20.100000000000001" customHeight="1" thickTop="1" thickBot="1">
      <c r="A324" s="1"/>
      <c r="B324" s="22">
        <v>323</v>
      </c>
      <c r="C324" s="22" t="s">
        <v>1390</v>
      </c>
      <c r="D324" s="22" t="s">
        <v>13</v>
      </c>
      <c r="E324" s="22" t="s">
        <v>1235</v>
      </c>
      <c r="F324" s="22" t="str">
        <f ca="1">IFERROR(__xludf.DUMMYFUNCTION("GOOGLETRANSLATE(E324,""ar"",""en"")"),"Food benefits")</f>
        <v>Food benefits</v>
      </c>
      <c r="G324" s="22" t="s">
        <v>3582</v>
      </c>
      <c r="H324" s="24" t="s">
        <v>3590</v>
      </c>
      <c r="I324" s="22" t="s">
        <v>3632</v>
      </c>
      <c r="J324" s="5" t="str">
        <f ca="1">IFERROR(__xludf.DUMMYFUNCTION("GOOGLETRANSLATE(G324,""ar"",""en"")"),"Al-Yamamah Tarout")</f>
        <v>Al-Yamamah Tarout</v>
      </c>
      <c r="K324" s="5"/>
      <c r="L324" s="5"/>
      <c r="M324" s="5" t="str">
        <f ca="1">IFERROR(__xludf.DUMMYFUNCTION("GOOGLETRANSLATE(J324,""ar"",""en"")"),"#VALUE!")</f>
        <v>#VALUE!</v>
      </c>
      <c r="N324" s="6" t="s">
        <v>1391</v>
      </c>
      <c r="O324" s="10" t="s">
        <v>1392</v>
      </c>
    </row>
    <row r="325" spans="1:15" ht="20.100000000000001" customHeight="1" thickTop="1" thickBot="1">
      <c r="A325" s="1"/>
      <c r="B325" s="22">
        <v>324</v>
      </c>
      <c r="C325" s="22" t="s">
        <v>1393</v>
      </c>
      <c r="D325" s="22" t="s">
        <v>13</v>
      </c>
      <c r="E325" s="23" t="s">
        <v>1394</v>
      </c>
      <c r="F325" s="22" t="str">
        <f ca="1">IFERROR(__xludf.DUMMYFUNCTION("GOOGLETRANSLATE(E325,""ar"",""en"")"),"Customs markets")</f>
        <v>Customs markets</v>
      </c>
      <c r="G325" s="22" t="s">
        <v>3582</v>
      </c>
      <c r="H325" s="24" t="s">
        <v>3590</v>
      </c>
      <c r="I325" s="23" t="s">
        <v>3632</v>
      </c>
      <c r="J325" s="5" t="str">
        <f ca="1">IFERROR(__xludf.DUMMYFUNCTION("GOOGLETRANSLATE(G325,""ar"",""en"")"),"Tarot")</f>
        <v>Tarot</v>
      </c>
      <c r="K325" s="11"/>
      <c r="L325" s="11"/>
      <c r="M325" s="5" t="str">
        <f ca="1">IFERROR(__xludf.DUMMYFUNCTION("GOOGLETRANSLATE(J325,""ar"",""en"")"),"#VALUE!")</f>
        <v>#VALUE!</v>
      </c>
      <c r="N325" s="12" t="s">
        <v>1395</v>
      </c>
      <c r="O325" s="10" t="s">
        <v>1396</v>
      </c>
    </row>
    <row r="326" spans="1:15" ht="20.100000000000001" customHeight="1" thickTop="1" thickBot="1">
      <c r="A326" s="1"/>
      <c r="B326" s="22">
        <v>325</v>
      </c>
      <c r="C326" s="22" t="s">
        <v>1397</v>
      </c>
      <c r="D326" s="22" t="s">
        <v>13</v>
      </c>
      <c r="E326" s="22" t="s">
        <v>1398</v>
      </c>
      <c r="F326" s="22" t="str">
        <f ca="1">IFERROR(__xludf.DUMMYFUNCTION("GOOGLETRANSLATE(E326,""ar"",""en"")"),"Golden Crown Corner Supplies")</f>
        <v>Golden Crown Corner Supplies</v>
      </c>
      <c r="G326" s="22" t="s">
        <v>3582</v>
      </c>
      <c r="H326" s="24" t="s">
        <v>3590</v>
      </c>
      <c r="I326" s="23" t="s">
        <v>3632</v>
      </c>
      <c r="J326" s="5" t="str">
        <f ca="1">IFERROR(__xludf.DUMMYFUNCTION("GOOGLETRANSLATE(G326,""ar"",""en"")"),"Tarot")</f>
        <v>Tarot</v>
      </c>
      <c r="K326" s="5">
        <v>547441718</v>
      </c>
      <c r="L326" s="5"/>
      <c r="M326" s="5" t="str">
        <f ca="1">IFERROR(__xludf.DUMMYFUNCTION("GOOGLETRANSLATE(J326,""ar"",""en"")"),"#VALUE!")</f>
        <v>#VALUE!</v>
      </c>
      <c r="N326" s="6" t="s">
        <v>1399</v>
      </c>
      <c r="O326" s="10" t="s">
        <v>1400</v>
      </c>
    </row>
    <row r="327" spans="1:15" ht="20.100000000000001" customHeight="1" thickTop="1" thickBot="1">
      <c r="A327" s="1"/>
      <c r="B327" s="22">
        <v>326</v>
      </c>
      <c r="C327" s="22" t="s">
        <v>1401</v>
      </c>
      <c r="D327" s="22" t="s">
        <v>13</v>
      </c>
      <c r="E327" s="23" t="s">
        <v>1394</v>
      </c>
      <c r="F327" s="22" t="str">
        <f ca="1">IFERROR(__xludf.DUMMYFUNCTION("GOOGLETRANSLATE(E327,""ar"",""en"")"),"Customs markets")</f>
        <v>Customs markets</v>
      </c>
      <c r="G327" s="22" t="s">
        <v>3582</v>
      </c>
      <c r="H327" s="24" t="s">
        <v>3590</v>
      </c>
      <c r="I327" s="23" t="s">
        <v>3625</v>
      </c>
      <c r="J327" s="5" t="str">
        <f ca="1">IFERROR(__xludf.DUMMYFUNCTION("GOOGLETRANSLATE(G327,""ar"",""en"")"),"Narcissus")</f>
        <v>Narcissus</v>
      </c>
      <c r="K327" s="11"/>
      <c r="L327" s="11"/>
      <c r="M327" s="5" t="str">
        <f ca="1">IFERROR(__xludf.DUMMYFUNCTION("GOOGLETRANSLATE(J327,""ar"",""en"")"),"#VALUE!")</f>
        <v>#VALUE!</v>
      </c>
      <c r="N327" s="12" t="s">
        <v>1402</v>
      </c>
      <c r="O327" s="10" t="s">
        <v>1403</v>
      </c>
    </row>
    <row r="328" spans="1:15" ht="20.100000000000001" customHeight="1" thickTop="1" thickBot="1">
      <c r="A328" s="1"/>
      <c r="B328" s="22">
        <v>327</v>
      </c>
      <c r="C328" s="22" t="s">
        <v>1404</v>
      </c>
      <c r="D328" s="22" t="s">
        <v>13</v>
      </c>
      <c r="E328" s="22" t="s">
        <v>1405</v>
      </c>
      <c r="F328" s="22" t="str">
        <f ca="1">IFERROR(__xludf.DUMMYFUNCTION("GOOGLETRANSLATE(E328,""ar"",""en"")"),"Best Shopping Supplies")</f>
        <v>Best Shopping Supplies</v>
      </c>
      <c r="G328" s="22" t="s">
        <v>3582</v>
      </c>
      <c r="H328" s="24" t="s">
        <v>3590</v>
      </c>
      <c r="I328" s="23" t="s">
        <v>3632</v>
      </c>
      <c r="J328" s="5" t="str">
        <f ca="1">IFERROR(__xludf.DUMMYFUNCTION("GOOGLETRANSLATE(G328,""ar"",""en"")"),"Tarot")</f>
        <v>Tarot</v>
      </c>
      <c r="K328" s="5">
        <v>578134934</v>
      </c>
      <c r="L328" s="5"/>
      <c r="M328" s="5" t="str">
        <f ca="1">IFERROR(__xludf.DUMMYFUNCTION("GOOGLETRANSLATE(J328,""ar"",""en"")"),"#VALUE!")</f>
        <v>#VALUE!</v>
      </c>
      <c r="N328" s="6" t="s">
        <v>1406</v>
      </c>
      <c r="O328" s="10" t="s">
        <v>1407</v>
      </c>
    </row>
    <row r="329" spans="1:15" ht="20.100000000000001" customHeight="1" thickTop="1" thickBot="1">
      <c r="A329" s="1"/>
      <c r="B329" s="22">
        <v>328</v>
      </c>
      <c r="C329" s="22" t="s">
        <v>1408</v>
      </c>
      <c r="D329" s="22" t="s">
        <v>13</v>
      </c>
      <c r="E329" s="23" t="s">
        <v>1409</v>
      </c>
      <c r="F329" s="22" t="str">
        <f ca="1">IFERROR(__xludf.DUMMYFUNCTION("GOOGLETRANSLATE(E329,""ar"",""en"")"),"Zad Haider Supplies")</f>
        <v>Zad Haider Supplies</v>
      </c>
      <c r="G329" s="22" t="s">
        <v>3582</v>
      </c>
      <c r="H329" s="24" t="s">
        <v>3590</v>
      </c>
      <c r="I329" s="23" t="s">
        <v>3632</v>
      </c>
      <c r="J329" s="5" t="str">
        <f ca="1">IFERROR(__xludf.DUMMYFUNCTION("GOOGLETRANSLATE(G329,""ar"",""en"")"),"Tarot")</f>
        <v>Tarot</v>
      </c>
      <c r="K329" s="11">
        <v>506815134</v>
      </c>
      <c r="L329" s="11" t="s">
        <v>741</v>
      </c>
      <c r="M329" s="5" t="str">
        <f ca="1">IFERROR(__xludf.DUMMYFUNCTION("GOOGLETRANSLATE(J329,""ar"",""en"")"),"Salah")</f>
        <v>Salah</v>
      </c>
      <c r="N329" s="12" t="s">
        <v>1410</v>
      </c>
      <c r="O329" s="10" t="s">
        <v>1411</v>
      </c>
    </row>
    <row r="330" spans="1:15" ht="20.100000000000001" customHeight="1" thickTop="1" thickBot="1">
      <c r="A330" s="1"/>
      <c r="B330" s="22">
        <v>329</v>
      </c>
      <c r="C330" s="22" t="s">
        <v>1412</v>
      </c>
      <c r="D330" s="22" t="s">
        <v>13</v>
      </c>
      <c r="E330" s="22" t="s">
        <v>1413</v>
      </c>
      <c r="F330" s="22" t="str">
        <f ca="1">IFERROR(__xludf.DUMMYFUNCTION("GOOGLETRANSLATE(E330,""ar"",""en"")"),"Al-Muntasir Charities Supplies")</f>
        <v>Al-Muntasir Charities Supplies</v>
      </c>
      <c r="G330" s="22" t="s">
        <v>3582</v>
      </c>
      <c r="H330" s="24" t="s">
        <v>3590</v>
      </c>
      <c r="I330" s="23" t="s">
        <v>3632</v>
      </c>
      <c r="J330" s="5" t="str">
        <f ca="1">IFERROR(__xludf.DUMMYFUNCTION("GOOGLETRANSLATE(G330,""ar"",""en"")"),"Tarot")</f>
        <v>Tarot</v>
      </c>
      <c r="K330" s="5">
        <v>554946935</v>
      </c>
      <c r="L330" s="5" t="s">
        <v>1414</v>
      </c>
      <c r="M330" s="5" t="str">
        <f ca="1">IFERROR(__xludf.DUMMYFUNCTION("GOOGLETRANSLATE(J330,""ar"",""en"")"),"Jawad")</f>
        <v>Jawad</v>
      </c>
      <c r="N330" s="6" t="s">
        <v>1415</v>
      </c>
      <c r="O330" s="10" t="s">
        <v>1416</v>
      </c>
    </row>
    <row r="331" spans="1:15" ht="20.100000000000001" customHeight="1" thickTop="1" thickBot="1">
      <c r="A331" s="1"/>
      <c r="B331" s="22">
        <v>330</v>
      </c>
      <c r="C331" s="22" t="s">
        <v>1417</v>
      </c>
      <c r="D331" s="22" t="s">
        <v>13</v>
      </c>
      <c r="E331" s="23" t="s">
        <v>1418</v>
      </c>
      <c r="F331" s="22" t="str">
        <f ca="1">IFERROR(__xludf.DUMMYFUNCTION("GOOGLETRANSLATE(E331,""ar"",""en"")"),"Darin World Supplies")</f>
        <v>Darin World Supplies</v>
      </c>
      <c r="G331" s="22" t="s">
        <v>3582</v>
      </c>
      <c r="H331" s="24" t="s">
        <v>3590</v>
      </c>
      <c r="I331" s="23" t="s">
        <v>3632</v>
      </c>
      <c r="J331" s="5" t="str">
        <f ca="1">IFERROR(__xludf.DUMMYFUNCTION("GOOGLETRANSLATE(G331,""ar"",""en"")"),"Tarot")</f>
        <v>Tarot</v>
      </c>
      <c r="K331" s="11">
        <v>557731853</v>
      </c>
      <c r="L331" s="11" t="s">
        <v>88</v>
      </c>
      <c r="M331" s="5" t="str">
        <f ca="1">IFERROR(__xludf.DUMMYFUNCTION("GOOGLETRANSLATE(J331,""ar"",""en"")"),"supporter")</f>
        <v>supporter</v>
      </c>
      <c r="N331" s="12" t="s">
        <v>1419</v>
      </c>
      <c r="O331" s="10" t="s">
        <v>1420</v>
      </c>
    </row>
    <row r="332" spans="1:15" ht="20.100000000000001" customHeight="1" thickTop="1" thickBot="1">
      <c r="A332" s="1"/>
      <c r="B332" s="22">
        <v>331</v>
      </c>
      <c r="C332" s="22" t="s">
        <v>1421</v>
      </c>
      <c r="D332" s="22" t="s">
        <v>13</v>
      </c>
      <c r="E332" s="22" t="s">
        <v>1422</v>
      </c>
      <c r="F332" s="22" t="str">
        <f ca="1">IFERROR(__xludf.DUMMYFUNCTION("GOOGLETRANSLATE(E332,""ar"",""en"")"),"Valley View Provisions")</f>
        <v>Valley View Provisions</v>
      </c>
      <c r="G332" s="22" t="s">
        <v>3582</v>
      </c>
      <c r="H332" s="24" t="s">
        <v>3590</v>
      </c>
      <c r="I332" s="23" t="s">
        <v>3632</v>
      </c>
      <c r="J332" s="5" t="str">
        <f ca="1">IFERROR(__xludf.DUMMYFUNCTION("GOOGLETRANSLATE(G332,""ar"",""en"")"),"Tarot")</f>
        <v>Tarot</v>
      </c>
      <c r="K332" s="5">
        <v>532388814</v>
      </c>
      <c r="L332" s="5"/>
      <c r="M332" s="5" t="str">
        <f ca="1">IFERROR(__xludf.DUMMYFUNCTION("GOOGLETRANSLATE(J332,""ar"",""en"")"),"#VALUE!")</f>
        <v>#VALUE!</v>
      </c>
      <c r="N332" s="6" t="s">
        <v>1423</v>
      </c>
      <c r="O332" s="10" t="s">
        <v>1424</v>
      </c>
    </row>
    <row r="333" spans="1:15" ht="20.100000000000001" customHeight="1" thickTop="1" thickBot="1">
      <c r="A333" s="1"/>
      <c r="B333" s="22">
        <v>332</v>
      </c>
      <c r="C333" s="22" t="s">
        <v>1425</v>
      </c>
      <c r="D333" s="22" t="s">
        <v>13</v>
      </c>
      <c r="E333" s="23" t="s">
        <v>1394</v>
      </c>
      <c r="F333" s="22" t="str">
        <f ca="1">IFERROR(__xludf.DUMMYFUNCTION("GOOGLETRANSLATE(E333,""ar"",""en"")"),"Customs markets")</f>
        <v>Customs markets</v>
      </c>
      <c r="G333" s="22" t="s">
        <v>3582</v>
      </c>
      <c r="H333" s="24" t="s">
        <v>3590</v>
      </c>
      <c r="I333" s="23" t="s">
        <v>3646</v>
      </c>
      <c r="J333" s="5" t="str">
        <f ca="1">IFERROR(__xludf.DUMMYFUNCTION("GOOGLETRANSLATE(G333,""ar"",""en"")"),"Spring")</f>
        <v>Spring</v>
      </c>
      <c r="K333" s="11"/>
      <c r="L333" s="11"/>
      <c r="M333" s="5" t="str">
        <f ca="1">IFERROR(__xludf.DUMMYFUNCTION("GOOGLETRANSLATE(J333,""ar"",""en"")"),"#VALUE!")</f>
        <v>#VALUE!</v>
      </c>
      <c r="N333" s="12" t="s">
        <v>1426</v>
      </c>
      <c r="O333" s="10" t="s">
        <v>1427</v>
      </c>
    </row>
    <row r="334" spans="1:15" ht="20.100000000000001" customHeight="1" thickTop="1" thickBot="1">
      <c r="A334" s="1"/>
      <c r="B334" s="22">
        <v>333</v>
      </c>
      <c r="C334" s="22" t="s">
        <v>1428</v>
      </c>
      <c r="D334" s="22" t="s">
        <v>13</v>
      </c>
      <c r="E334" s="22" t="s">
        <v>1429</v>
      </c>
      <c r="F334" s="22" t="str">
        <f ca="1">IFERROR(__xludf.DUMMYFUNCTION("GOOGLETRANSLATE(E334,""ar"",""en"")"),"Maryam Al-Mahri Grocery")</f>
        <v>Maryam Al-Mahri Grocery</v>
      </c>
      <c r="G334" s="22" t="s">
        <v>3582</v>
      </c>
      <c r="H334" s="24" t="s">
        <v>3590</v>
      </c>
      <c r="I334" s="23" t="s">
        <v>3632</v>
      </c>
      <c r="J334" s="5" t="str">
        <f ca="1">IFERROR(__xludf.DUMMYFUNCTION("GOOGLETRANSLATE(G334,""ar"",""en"")"),"Tarot")</f>
        <v>Tarot</v>
      </c>
      <c r="K334" s="5"/>
      <c r="L334" s="5"/>
      <c r="M334" s="5" t="str">
        <f ca="1">IFERROR(__xludf.DUMMYFUNCTION("GOOGLETRANSLATE(J334,""ar"",""en"")"),"#VALUE!")</f>
        <v>#VALUE!</v>
      </c>
      <c r="N334" s="6" t="s">
        <v>1430</v>
      </c>
      <c r="O334" s="10" t="s">
        <v>1431</v>
      </c>
    </row>
    <row r="335" spans="1:15" ht="20.100000000000001" customHeight="1" thickTop="1" thickBot="1">
      <c r="A335" s="1"/>
      <c r="B335" s="22">
        <v>334</v>
      </c>
      <c r="C335" s="22" t="s">
        <v>1432</v>
      </c>
      <c r="D335" s="22" t="s">
        <v>13</v>
      </c>
      <c r="E335" s="23" t="s">
        <v>1433</v>
      </c>
      <c r="F335" s="22" t="str">
        <f ca="1">IFERROR(__xludf.DUMMYFUNCTION("GOOGLETRANSLATE(E335,""ar"",""en"")"),"Larina Catering")</f>
        <v>Larina Catering</v>
      </c>
      <c r="G335" s="22" t="s">
        <v>3582</v>
      </c>
      <c r="H335" s="24" t="s">
        <v>3590</v>
      </c>
      <c r="I335" s="23" t="s">
        <v>3632</v>
      </c>
      <c r="J335" s="5" t="str">
        <f ca="1">IFERROR(__xludf.DUMMYFUNCTION("GOOGLETRANSLATE(G335,""ar"",""en"")"),"Tarot")</f>
        <v>Tarot</v>
      </c>
      <c r="K335" s="11">
        <v>582787736</v>
      </c>
      <c r="L335" s="11"/>
      <c r="M335" s="5" t="str">
        <f ca="1">IFERROR(__xludf.DUMMYFUNCTION("GOOGLETRANSLATE(J335,""ar"",""en"")"),"#VALUE!")</f>
        <v>#VALUE!</v>
      </c>
      <c r="N335" s="12" t="s">
        <v>1434</v>
      </c>
      <c r="O335" s="10" t="s">
        <v>1435</v>
      </c>
    </row>
    <row r="336" spans="1:15" ht="20.100000000000001" customHeight="1" thickTop="1" thickBot="1">
      <c r="A336" s="1"/>
      <c r="B336" s="22">
        <v>335</v>
      </c>
      <c r="C336" s="22" t="s">
        <v>1436</v>
      </c>
      <c r="D336" s="22" t="s">
        <v>13</v>
      </c>
      <c r="E336" s="22" t="s">
        <v>1437</v>
      </c>
      <c r="F336" s="22" t="str">
        <f ca="1">IFERROR(__xludf.DUMMYFUNCTION("GOOGLETRANSLATE(E336,""ar"",""en"")"),"Shatha Al-Laymoun Markets")</f>
        <v>Shatha Al-Laymoun Markets</v>
      </c>
      <c r="G336" s="22" t="s">
        <v>3582</v>
      </c>
      <c r="H336" s="24" t="s">
        <v>3590</v>
      </c>
      <c r="I336" s="23" t="s">
        <v>3632</v>
      </c>
      <c r="J336" s="5" t="str">
        <f ca="1">IFERROR(__xludf.DUMMYFUNCTION("GOOGLETRANSLATE(G336,""ar"",""en"")"),"Tarourt")</f>
        <v>Tarourt</v>
      </c>
      <c r="K336" s="5">
        <v>509298405</v>
      </c>
      <c r="L336" s="5" t="s">
        <v>1438</v>
      </c>
      <c r="M336" s="5" t="str">
        <f ca="1">IFERROR(__xludf.DUMMYFUNCTION("GOOGLETRANSLATE(J336,""ar"",""en"")"),"Abu Fadi")</f>
        <v>Abu Fadi</v>
      </c>
      <c r="N336" s="6" t="s">
        <v>1439</v>
      </c>
      <c r="O336" s="10" t="s">
        <v>1440</v>
      </c>
    </row>
    <row r="337" spans="1:15" ht="20.100000000000001" customHeight="1" thickTop="1" thickBot="1">
      <c r="A337" s="1"/>
      <c r="B337" s="22">
        <v>336</v>
      </c>
      <c r="C337" s="22" t="s">
        <v>1441</v>
      </c>
      <c r="D337" s="22" t="s">
        <v>13</v>
      </c>
      <c r="E337" s="23" t="s">
        <v>1442</v>
      </c>
      <c r="F337" s="22" t="str">
        <f ca="1">IFERROR(__xludf.DUMMYFUNCTION("GOOGLETRANSLATE(E337,""ar"",""en"")"),"Winter Colors Foundation")</f>
        <v>Winter Colors Foundation</v>
      </c>
      <c r="G337" s="22" t="s">
        <v>3582</v>
      </c>
      <c r="H337" s="24" t="s">
        <v>3590</v>
      </c>
      <c r="I337" s="23" t="s">
        <v>3632</v>
      </c>
      <c r="J337" s="5" t="str">
        <f ca="1">IFERROR(__xludf.DUMMYFUNCTION("GOOGLETRANSLATE(G337,""ar"",""en"")"),"Tarot")</f>
        <v>Tarot</v>
      </c>
      <c r="K337" s="11"/>
      <c r="L337" s="11"/>
      <c r="M337" s="5" t="str">
        <f ca="1">IFERROR(__xludf.DUMMYFUNCTION("GOOGLETRANSLATE(J337,""ar"",""en"")"),"#VALUE!")</f>
        <v>#VALUE!</v>
      </c>
      <c r="N337" s="12" t="s">
        <v>1443</v>
      </c>
      <c r="O337" s="10" t="s">
        <v>1444</v>
      </c>
    </row>
    <row r="338" spans="1:15" ht="20.100000000000001" customHeight="1" thickTop="1" thickBot="1">
      <c r="A338" s="1"/>
      <c r="B338" s="22">
        <v>337</v>
      </c>
      <c r="C338" s="22" t="s">
        <v>1445</v>
      </c>
      <c r="D338" s="22" t="s">
        <v>13</v>
      </c>
      <c r="E338" s="22" t="s">
        <v>1446</v>
      </c>
      <c r="F338" s="22" t="str">
        <f ca="1">IFERROR(__xludf.DUMMYFUNCTION("GOOGLETRANSLATE(E338,""ar"",""en"")"),"Najoum Marhaba Markets Establishment")</f>
        <v>Najoum Marhaba Markets Establishment</v>
      </c>
      <c r="G338" s="22" t="s">
        <v>3582</v>
      </c>
      <c r="H338" s="24" t="s">
        <v>3590</v>
      </c>
      <c r="I338" s="23" t="s">
        <v>3632</v>
      </c>
      <c r="J338" s="5" t="str">
        <f ca="1">IFERROR(__xludf.DUMMYFUNCTION("GOOGLETRANSLATE(G338,""ar"",""en"")"),"Tarot")</f>
        <v>Tarot</v>
      </c>
      <c r="K338" s="5">
        <v>557356096</v>
      </c>
      <c r="L338" s="5" t="s">
        <v>741</v>
      </c>
      <c r="M338" s="5" t="str">
        <f ca="1">IFERROR(__xludf.DUMMYFUNCTION("GOOGLETRANSLATE(J338,""ar"",""en"")"),"Salah")</f>
        <v>Salah</v>
      </c>
      <c r="N338" s="6" t="s">
        <v>1447</v>
      </c>
      <c r="O338" s="10" t="s">
        <v>1448</v>
      </c>
    </row>
    <row r="339" spans="1:15" ht="20.100000000000001" customHeight="1" thickTop="1" thickBot="1">
      <c r="A339" s="1"/>
      <c r="B339" s="22">
        <v>338</v>
      </c>
      <c r="C339" s="22" t="s">
        <v>1449</v>
      </c>
      <c r="D339" s="22" t="s">
        <v>13</v>
      </c>
      <c r="E339" s="23" t="s">
        <v>1450</v>
      </c>
      <c r="F339" s="22" t="str">
        <f ca="1">IFERROR(__xludf.DUMMYFUNCTION("GOOGLETRANSLATE(E339,""ar"",""en"")"),"Sheikh's Grocery")</f>
        <v>Sheikh's Grocery</v>
      </c>
      <c r="G339" s="22" t="s">
        <v>3582</v>
      </c>
      <c r="H339" s="24" t="s">
        <v>3590</v>
      </c>
      <c r="I339" s="23" t="s">
        <v>3632</v>
      </c>
      <c r="J339" s="5" t="str">
        <f ca="1">IFERROR(__xludf.DUMMYFUNCTION("GOOGLETRANSLATE(G339,""ar"",""en"")"),"Tarot")</f>
        <v>Tarot</v>
      </c>
      <c r="K339" s="11">
        <v>510408178</v>
      </c>
      <c r="L339" s="11"/>
      <c r="M339" s="5" t="str">
        <f ca="1">IFERROR(__xludf.DUMMYFUNCTION("GOOGLETRANSLATE(J339,""ar"",""en"")"),"#VALUE!")</f>
        <v>#VALUE!</v>
      </c>
      <c r="N339" s="12" t="s">
        <v>1451</v>
      </c>
      <c r="O339" s="10" t="s">
        <v>1452</v>
      </c>
    </row>
    <row r="340" spans="1:15" ht="20.100000000000001" customHeight="1" thickTop="1" thickBot="1">
      <c r="A340" s="1"/>
      <c r="B340" s="22">
        <v>339</v>
      </c>
      <c r="C340" s="22" t="s">
        <v>1453</v>
      </c>
      <c r="D340" s="22" t="s">
        <v>13</v>
      </c>
      <c r="E340" s="22" t="s">
        <v>1454</v>
      </c>
      <c r="F340" s="22" t="str">
        <f ca="1">IFERROR(__xludf.DUMMYFUNCTION("GOOGLETRANSLATE(E340,""ar"",""en"")"),"Your world's grocery store is excellent")</f>
        <v>Your world's grocery store is excellent</v>
      </c>
      <c r="G340" s="22" t="s">
        <v>3582</v>
      </c>
      <c r="H340" s="24" t="s">
        <v>3590</v>
      </c>
      <c r="I340" s="23" t="s">
        <v>3632</v>
      </c>
      <c r="J340" s="5" t="str">
        <f ca="1">IFERROR(__xludf.DUMMYFUNCTION("GOOGLETRANSLATE(G340,""ar"",""en"")"),"Tarot")</f>
        <v>Tarot</v>
      </c>
      <c r="K340" s="5">
        <v>572581033</v>
      </c>
      <c r="L340" s="5"/>
      <c r="M340" s="5" t="str">
        <f ca="1">IFERROR(__xludf.DUMMYFUNCTION("GOOGLETRANSLATE(J340,""ar"",""en"")"),"#VALUE!")</f>
        <v>#VALUE!</v>
      </c>
      <c r="N340" s="6" t="s">
        <v>1455</v>
      </c>
      <c r="O340" s="10" t="s">
        <v>1456</v>
      </c>
    </row>
    <row r="341" spans="1:15" ht="20.100000000000001" customHeight="1" thickTop="1" thickBot="1">
      <c r="A341" s="1"/>
      <c r="B341" s="22">
        <v>340</v>
      </c>
      <c r="C341" s="22" t="s">
        <v>1457</v>
      </c>
      <c r="D341" s="22" t="s">
        <v>13</v>
      </c>
      <c r="E341" s="23" t="s">
        <v>1458</v>
      </c>
      <c r="F341" s="22" t="str">
        <f ca="1">IFERROR(__xludf.DUMMYFUNCTION("GOOGLETRANSLATE(E341,""ar"",""en"")"),"Granada Supplies")</f>
        <v>Granada Supplies</v>
      </c>
      <c r="G341" s="22" t="s">
        <v>3582</v>
      </c>
      <c r="H341" s="24" t="s">
        <v>3590</v>
      </c>
      <c r="I341" s="23" t="s">
        <v>3632</v>
      </c>
      <c r="J341" s="5" t="str">
        <f ca="1">IFERROR(__xludf.DUMMYFUNCTION("GOOGLETRANSLATE(G341,""ar"",""en"")"),"Tarot")</f>
        <v>Tarot</v>
      </c>
      <c r="K341" s="11">
        <v>505898461</v>
      </c>
      <c r="L341" s="11" t="s">
        <v>1459</v>
      </c>
      <c r="M341" s="5" t="str">
        <f ca="1">IFERROR(__xludf.DUMMYFUNCTION("GOOGLETRANSLATE(J341,""ar"",""en"")"),"Anwar")</f>
        <v>Anwar</v>
      </c>
      <c r="N341" s="12" t="s">
        <v>1460</v>
      </c>
      <c r="O341" s="10" t="s">
        <v>1461</v>
      </c>
    </row>
    <row r="342" spans="1:15" ht="20.100000000000001" customHeight="1" thickTop="1" thickBot="1">
      <c r="A342" s="1"/>
      <c r="B342" s="22">
        <v>341</v>
      </c>
      <c r="C342" s="22" t="s">
        <v>1462</v>
      </c>
      <c r="D342" s="22" t="s">
        <v>13</v>
      </c>
      <c r="E342" s="22" t="s">
        <v>1463</v>
      </c>
      <c r="F342" s="22" t="str">
        <f ca="1">IFERROR(__xludf.DUMMYFUNCTION("GOOGLETRANSLATE(E342,""ar"",""en"")"),"Ali Abdulbaqi Foundation")</f>
        <v>Ali Abdulbaqi Foundation</v>
      </c>
      <c r="G342" s="22" t="s">
        <v>3582</v>
      </c>
      <c r="H342" s="24" t="s">
        <v>3590</v>
      </c>
      <c r="I342" s="23" t="s">
        <v>3632</v>
      </c>
      <c r="J342" s="5" t="str">
        <f ca="1">IFERROR(__xludf.DUMMYFUNCTION("GOOGLETRANSLATE(G342,""ar"",""en"")"),"Tarot")</f>
        <v>Tarot</v>
      </c>
      <c r="K342" s="5">
        <v>505412088</v>
      </c>
      <c r="L342" s="5"/>
      <c r="M342" s="5" t="str">
        <f ca="1">IFERROR(__xludf.DUMMYFUNCTION("GOOGLETRANSLATE(J342,""ar"",""en"")"),"#VALUE!")</f>
        <v>#VALUE!</v>
      </c>
      <c r="N342" s="6" t="s">
        <v>1464</v>
      </c>
      <c r="O342" s="10" t="s">
        <v>1465</v>
      </c>
    </row>
    <row r="343" spans="1:15" ht="20.100000000000001" customHeight="1" thickTop="1" thickBot="1">
      <c r="A343" s="1"/>
      <c r="B343" s="22">
        <v>342</v>
      </c>
      <c r="C343" s="22" t="s">
        <v>1466</v>
      </c>
      <c r="D343" s="22" t="s">
        <v>13</v>
      </c>
      <c r="E343" s="23" t="s">
        <v>1235</v>
      </c>
      <c r="F343" s="22" t="str">
        <f ca="1">IFERROR(__xludf.DUMMYFUNCTION("GOOGLETRANSLATE(E343,""ar"",""en"")"),"Food benefits")</f>
        <v>Food benefits</v>
      </c>
      <c r="G343" s="22" t="s">
        <v>3582</v>
      </c>
      <c r="H343" s="24" t="s">
        <v>3590</v>
      </c>
      <c r="I343" s="23" t="s">
        <v>3632</v>
      </c>
      <c r="J343" s="5" t="str">
        <f ca="1">IFERROR(__xludf.DUMMYFUNCTION("GOOGLETRANSLATE(G343,""ar"",""en"")"),"Tarot")</f>
        <v>Tarot</v>
      </c>
      <c r="K343" s="11"/>
      <c r="L343" s="11"/>
      <c r="M343" s="5" t="str">
        <f ca="1">IFERROR(__xludf.DUMMYFUNCTION("GOOGLETRANSLATE(J343,""ar"",""en"")"),"#VALUE!")</f>
        <v>#VALUE!</v>
      </c>
      <c r="N343" s="12" t="s">
        <v>1467</v>
      </c>
      <c r="O343" s="10" t="s">
        <v>1468</v>
      </c>
    </row>
    <row r="344" spans="1:15" ht="20.100000000000001" customHeight="1" thickTop="1" thickBot="1">
      <c r="A344" s="1"/>
      <c r="B344" s="22">
        <v>343</v>
      </c>
      <c r="C344" s="22" t="s">
        <v>1469</v>
      </c>
      <c r="D344" s="22" t="s">
        <v>13</v>
      </c>
      <c r="E344" s="22" t="s">
        <v>1470</v>
      </c>
      <c r="F344" s="22" t="str">
        <f ca="1">IFERROR(__xludf.DUMMYFUNCTION("GOOGLETRANSLATE(E344,""ar"",""en"")"),"Zaman Nazareth Supplies")</f>
        <v>Zaman Nazareth Supplies</v>
      </c>
      <c r="G344" s="22" t="s">
        <v>3582</v>
      </c>
      <c r="H344" s="24" t="s">
        <v>3590</v>
      </c>
      <c r="I344" s="23" t="s">
        <v>3632</v>
      </c>
      <c r="J344" s="5" t="str">
        <f ca="1">IFERROR(__xludf.DUMMYFUNCTION("GOOGLETRANSLATE(G344,""ar"",""en"")"),"Tarot")</f>
        <v>Tarot</v>
      </c>
      <c r="K344" s="5">
        <v>534089484</v>
      </c>
      <c r="L344" s="5"/>
      <c r="M344" s="5" t="str">
        <f ca="1">IFERROR(__xludf.DUMMYFUNCTION("GOOGLETRANSLATE(J344,""ar"",""en"")"),"#VALUE!")</f>
        <v>#VALUE!</v>
      </c>
      <c r="N344" s="6" t="s">
        <v>1471</v>
      </c>
      <c r="O344" s="10" t="s">
        <v>1472</v>
      </c>
    </row>
    <row r="345" spans="1:15" ht="20.100000000000001" customHeight="1" thickTop="1" thickBot="1">
      <c r="A345" s="1"/>
      <c r="B345" s="22">
        <v>344</v>
      </c>
      <c r="C345" s="22" t="s">
        <v>1473</v>
      </c>
      <c r="D345" s="22" t="s">
        <v>13</v>
      </c>
      <c r="E345" s="23" t="s">
        <v>1474</v>
      </c>
      <c r="F345" s="22" t="str">
        <f ca="1">IFERROR(__xludf.DUMMYFUNCTION("GOOGLETRANSLATE(E345,""ar"",""en"")"),"Al-Mukhtar Groceries, Vegetables and Fruits")</f>
        <v>Al-Mukhtar Groceries, Vegetables and Fruits</v>
      </c>
      <c r="G345" s="22" t="s">
        <v>3582</v>
      </c>
      <c r="H345" s="24" t="s">
        <v>3590</v>
      </c>
      <c r="I345" s="23" t="s">
        <v>3632</v>
      </c>
      <c r="J345" s="5" t="str">
        <f ca="1">IFERROR(__xludf.DUMMYFUNCTION("GOOGLETRANSLATE(G345,""ar"",""en"")"),"Tarot")</f>
        <v>Tarot</v>
      </c>
      <c r="K345" s="11">
        <v>537721267</v>
      </c>
      <c r="L345" s="11"/>
      <c r="M345" s="5" t="str">
        <f ca="1">IFERROR(__xludf.DUMMYFUNCTION("GOOGLETRANSLATE(J345,""ar"",""en"")"),"#VALUE!")</f>
        <v>#VALUE!</v>
      </c>
      <c r="N345" s="12" t="s">
        <v>1475</v>
      </c>
      <c r="O345" s="10" t="s">
        <v>1476</v>
      </c>
    </row>
    <row r="346" spans="1:15" ht="20.100000000000001" customHeight="1" thickTop="1" thickBot="1">
      <c r="A346" s="1"/>
      <c r="B346" s="22">
        <v>345</v>
      </c>
      <c r="C346" s="22" t="s">
        <v>1477</v>
      </c>
      <c r="D346" s="22" t="s">
        <v>13</v>
      </c>
      <c r="E346" s="22" t="s">
        <v>1478</v>
      </c>
      <c r="F346" s="22" t="str">
        <f ca="1">IFERROR(__xludf.DUMMYFUNCTION("GOOGLETRANSLATE(E346,""ar"",""en"")"),"Karam Ahlna Supplies")</f>
        <v>Karam Ahlna Supplies</v>
      </c>
      <c r="G346" s="22" t="s">
        <v>3582</v>
      </c>
      <c r="H346" s="24" t="s">
        <v>3590</v>
      </c>
      <c r="I346" s="23" t="s">
        <v>3632</v>
      </c>
      <c r="J346" s="5" t="str">
        <f ca="1">IFERROR(__xludf.DUMMYFUNCTION("GOOGLETRANSLATE(G346,""ar"",""en"")"),"Tarot")</f>
        <v>Tarot</v>
      </c>
      <c r="K346" s="5">
        <v>580027888</v>
      </c>
      <c r="L346" s="5" t="s">
        <v>919</v>
      </c>
      <c r="M346" s="5" t="str">
        <f ca="1">IFERROR(__xludf.DUMMYFUNCTION("GOOGLETRANSLATE(J346,""ar"",""en"")"),"righteous")</f>
        <v>righteous</v>
      </c>
      <c r="N346" s="6" t="s">
        <v>1479</v>
      </c>
      <c r="O346" s="10" t="s">
        <v>1480</v>
      </c>
    </row>
    <row r="347" spans="1:15" ht="20.100000000000001" customHeight="1" thickTop="1" thickBot="1">
      <c r="A347" s="1"/>
      <c r="B347" s="22">
        <v>346</v>
      </c>
      <c r="C347" s="22" t="s">
        <v>1481</v>
      </c>
      <c r="D347" s="22" t="s">
        <v>13</v>
      </c>
      <c r="E347" s="23" t="s">
        <v>1482</v>
      </c>
      <c r="F347" s="22" t="str">
        <f ca="1">IFERROR(__xludf.DUMMYFUNCTION("GOOGLETRANSLATE(E347,""ar"",""en"")"),"Al-Zad Al-Mufaddal Supplies")</f>
        <v>Al-Zad Al-Mufaddal Supplies</v>
      </c>
      <c r="G347" s="22" t="s">
        <v>3582</v>
      </c>
      <c r="H347" s="24" t="s">
        <v>3590</v>
      </c>
      <c r="I347" s="23" t="s">
        <v>3632</v>
      </c>
      <c r="J347" s="5" t="str">
        <f ca="1">IFERROR(__xludf.DUMMYFUNCTION("GOOGLETRANSLATE(G347,""ar"",""en"")"),"Tarot")</f>
        <v>Tarot</v>
      </c>
      <c r="K347" s="11"/>
      <c r="L347" s="11"/>
      <c r="M347" s="5" t="str">
        <f ca="1">IFERROR(__xludf.DUMMYFUNCTION("GOOGLETRANSLATE(J347,""ar"",""en"")"),"#VALUE!")</f>
        <v>#VALUE!</v>
      </c>
      <c r="N347" s="12" t="s">
        <v>1483</v>
      </c>
      <c r="O347" s="10" t="s">
        <v>1484</v>
      </c>
    </row>
    <row r="348" spans="1:15" ht="20.100000000000001" customHeight="1" thickTop="1" thickBot="1">
      <c r="A348" s="1"/>
      <c r="B348" s="22">
        <v>347</v>
      </c>
      <c r="C348" s="22" t="s">
        <v>1485</v>
      </c>
      <c r="D348" s="22" t="s">
        <v>13</v>
      </c>
      <c r="E348" s="22" t="s">
        <v>1216</v>
      </c>
      <c r="F348" s="22" t="str">
        <f ca="1">IFERROR(__xludf.DUMMYFUNCTION("GOOGLETRANSLATE(E348,""ar"",""en"")"),"Al Muntazah Markets")</f>
        <v>Al Muntazah Markets</v>
      </c>
      <c r="G348" s="22" t="s">
        <v>3582</v>
      </c>
      <c r="H348" s="24" t="s">
        <v>3590</v>
      </c>
      <c r="I348" s="23" t="s">
        <v>3632</v>
      </c>
      <c r="J348" s="5" t="str">
        <f ca="1">IFERROR(__xludf.DUMMYFUNCTION("GOOGLETRANSLATE(G348,""ar"",""en"")"),"Tarot")</f>
        <v>Tarot</v>
      </c>
      <c r="K348" s="5"/>
      <c r="L348" s="5"/>
      <c r="M348" s="5" t="str">
        <f ca="1">IFERROR(__xludf.DUMMYFUNCTION("GOOGLETRANSLATE(J348,""ar"",""en"")"),"#VALUE!")</f>
        <v>#VALUE!</v>
      </c>
      <c r="N348" s="6" t="s">
        <v>1486</v>
      </c>
      <c r="O348" s="10" t="s">
        <v>1487</v>
      </c>
    </row>
    <row r="349" spans="1:15" ht="20.100000000000001" customHeight="1" thickTop="1" thickBot="1">
      <c r="A349" s="1"/>
      <c r="B349" s="22">
        <v>348</v>
      </c>
      <c r="C349" s="22" t="s">
        <v>1488</v>
      </c>
      <c r="D349" s="22" t="s">
        <v>13</v>
      </c>
      <c r="E349" s="23" t="s">
        <v>1489</v>
      </c>
      <c r="F349" s="22" t="str">
        <f ca="1">IFERROR(__xludf.DUMMYFUNCTION("GOOGLETRANSLATE(E349,""ar"",""en"")"),"Najran Eyes Company")</f>
        <v>Najran Eyes Company</v>
      </c>
      <c r="G349" s="22" t="s">
        <v>3582</v>
      </c>
      <c r="H349" s="24" t="s">
        <v>3590</v>
      </c>
      <c r="I349" s="23" t="s">
        <v>3632</v>
      </c>
      <c r="J349" s="5" t="str">
        <f ca="1">IFERROR(__xludf.DUMMYFUNCTION("GOOGLETRANSLATE(G349,""ar"",""en"")"),"Tarot")</f>
        <v>Tarot</v>
      </c>
      <c r="K349" s="11">
        <v>598037876</v>
      </c>
      <c r="L349" s="11"/>
      <c r="M349" s="5" t="str">
        <f ca="1">IFERROR(__xludf.DUMMYFUNCTION("GOOGLETRANSLATE(J349,""ar"",""en"")"),"#VALUE!")</f>
        <v>#VALUE!</v>
      </c>
      <c r="N349" s="12" t="s">
        <v>1490</v>
      </c>
      <c r="O349" s="10" t="s">
        <v>1491</v>
      </c>
    </row>
    <row r="350" spans="1:15" ht="20.100000000000001" customHeight="1" thickTop="1" thickBot="1">
      <c r="A350" s="1"/>
      <c r="B350" s="22">
        <v>349</v>
      </c>
      <c r="C350" s="22" t="s">
        <v>1492</v>
      </c>
      <c r="D350" s="22" t="s">
        <v>13</v>
      </c>
      <c r="E350" s="22" t="s">
        <v>1493</v>
      </c>
      <c r="F350" s="22" t="str">
        <f ca="1">IFERROR(__xludf.DUMMYFUNCTION("GOOGLETRANSLATE(E350,""ar"",""en"")"),"Al-Khat Al-Mutawira Company Supplies")</f>
        <v>Al-Khat Al-Mutawira Company Supplies</v>
      </c>
      <c r="G350" s="22" t="s">
        <v>3582</v>
      </c>
      <c r="H350" s="24" t="s">
        <v>3590</v>
      </c>
      <c r="I350" s="23" t="s">
        <v>3632</v>
      </c>
      <c r="J350" s="5" t="str">
        <f ca="1">IFERROR(__xludf.DUMMYFUNCTION("GOOGLETRANSLATE(G350,""ar"",""en"")"),"Tarot")</f>
        <v>Tarot</v>
      </c>
      <c r="K350" s="5">
        <v>573080993</v>
      </c>
      <c r="L350" s="5"/>
      <c r="M350" s="5" t="str">
        <f ca="1">IFERROR(__xludf.DUMMYFUNCTION("GOOGLETRANSLATE(J350,""ar"",""en"")"),"#VALUE!")</f>
        <v>#VALUE!</v>
      </c>
      <c r="N350" s="6" t="s">
        <v>1494</v>
      </c>
      <c r="O350" s="10" t="s">
        <v>1495</v>
      </c>
    </row>
    <row r="351" spans="1:15" ht="20.100000000000001" customHeight="1" thickTop="1" thickBot="1">
      <c r="A351" s="1"/>
      <c r="B351" s="22">
        <v>350</v>
      </c>
      <c r="C351" s="22" t="s">
        <v>1496</v>
      </c>
      <c r="D351" s="22" t="s">
        <v>13</v>
      </c>
      <c r="E351" s="23" t="s">
        <v>1497</v>
      </c>
      <c r="F351" s="22" t="str">
        <f ca="1">IFERROR(__xludf.DUMMYFUNCTION("GOOGLETRANSLATE(E351,""ar"",""en"")"),"Happy Day Grocery")</f>
        <v>Happy Day Grocery</v>
      </c>
      <c r="G351" s="22" t="s">
        <v>3582</v>
      </c>
      <c r="H351" s="24" t="s">
        <v>3590</v>
      </c>
      <c r="I351" s="23" t="s">
        <v>3632</v>
      </c>
      <c r="J351" s="5" t="str">
        <f ca="1">IFERROR(__xludf.DUMMYFUNCTION("GOOGLETRANSLATE(G351,""ar"",""en"")"),"Fifth")</f>
        <v>Fifth</v>
      </c>
      <c r="K351" s="11">
        <v>598031366</v>
      </c>
      <c r="L351" s="11"/>
      <c r="M351" s="5" t="str">
        <f ca="1">IFERROR(__xludf.DUMMYFUNCTION("GOOGLETRANSLATE(J351,""ar"",""en"")"),"#VALUE!")</f>
        <v>#VALUE!</v>
      </c>
      <c r="N351" s="12" t="s">
        <v>1498</v>
      </c>
      <c r="O351" s="10" t="s">
        <v>1499</v>
      </c>
    </row>
    <row r="352" spans="1:15" ht="20.100000000000001" customHeight="1" thickTop="1" thickBot="1">
      <c r="A352" s="1"/>
      <c r="B352" s="22">
        <v>351</v>
      </c>
      <c r="C352" s="22" t="s">
        <v>1500</v>
      </c>
      <c r="D352" s="22" t="s">
        <v>13</v>
      </c>
      <c r="E352" s="22" t="s">
        <v>1501</v>
      </c>
      <c r="F352" s="22" t="str">
        <f ca="1">IFERROR(__xludf.DUMMYFUNCTION("GOOGLETRANSLATE(E352,""ar"",""en"")"),"The minarets of Al-Ghadir increased")</f>
        <v>The minarets of Al-Ghadir increased</v>
      </c>
      <c r="G352" s="22" t="s">
        <v>3582</v>
      </c>
      <c r="H352" s="24" t="s">
        <v>3590</v>
      </c>
      <c r="I352" s="23" t="s">
        <v>3705</v>
      </c>
      <c r="J352" s="5" t="str">
        <f ca="1">IFERROR(__xludf.DUMMYFUNCTION("GOOGLETRANSLATE(G352,""ar"",""en"")"),"Fifth")</f>
        <v>Fifth</v>
      </c>
      <c r="K352" s="5"/>
      <c r="L352" s="5"/>
      <c r="M352" s="5" t="str">
        <f ca="1">IFERROR(__xludf.DUMMYFUNCTION("GOOGLETRANSLATE(J352,""ar"",""en"")"),"#VALUE!")</f>
        <v>#VALUE!</v>
      </c>
      <c r="N352" s="6" t="s">
        <v>1502</v>
      </c>
      <c r="O352" s="10" t="s">
        <v>1503</v>
      </c>
    </row>
    <row r="353" spans="1:15" ht="20.100000000000001" customHeight="1" thickTop="1" thickBot="1">
      <c r="A353" s="1"/>
      <c r="B353" s="22">
        <v>352</v>
      </c>
      <c r="C353" s="22" t="s">
        <v>1504</v>
      </c>
      <c r="D353" s="22" t="s">
        <v>13</v>
      </c>
      <c r="E353" s="23" t="s">
        <v>328</v>
      </c>
      <c r="F353" s="22" t="str">
        <f ca="1">IFERROR(__xludf.DUMMYFUNCTION("GOOGLETRANSLATE(E353,""ar"",""en"")"),"Sea Nights Catering")</f>
        <v>Sea Nights Catering</v>
      </c>
      <c r="G353" s="22" t="s">
        <v>3582</v>
      </c>
      <c r="H353" s="24" t="s">
        <v>3590</v>
      </c>
      <c r="I353" s="23" t="s">
        <v>3705</v>
      </c>
      <c r="J353" s="5" t="str">
        <f ca="1">IFERROR(__xludf.DUMMYFUNCTION("GOOGLETRANSLATE(G353,""ar"",""en"")"),"Fifth")</f>
        <v>Fifth</v>
      </c>
      <c r="K353" s="11">
        <v>509305022</v>
      </c>
      <c r="L353" s="11" t="s">
        <v>1505</v>
      </c>
      <c r="M353" s="5" t="str">
        <f ca="1">IFERROR(__xludf.DUMMYFUNCTION("GOOGLETRANSLATE(J353,""ar"",""en"")"),"child")</f>
        <v>child</v>
      </c>
      <c r="N353" s="12" t="s">
        <v>1506</v>
      </c>
      <c r="O353" s="10" t="s">
        <v>1507</v>
      </c>
    </row>
    <row r="354" spans="1:15" ht="20.100000000000001" customHeight="1" thickTop="1" thickBot="1">
      <c r="A354" s="1"/>
      <c r="B354" s="22">
        <v>353</v>
      </c>
      <c r="C354" s="22" t="s">
        <v>1508</v>
      </c>
      <c r="D354" s="22" t="s">
        <v>13</v>
      </c>
      <c r="E354" s="22" t="s">
        <v>1509</v>
      </c>
      <c r="F354" s="22" t="str">
        <f ca="1">IFERROR(__xludf.DUMMYFUNCTION("GOOGLETRANSLATE(E354,""ar"",""en"")"),"Full Fingerprint Markets")</f>
        <v>Full Fingerprint Markets</v>
      </c>
      <c r="G354" s="22" t="s">
        <v>3582</v>
      </c>
      <c r="H354" s="24" t="s">
        <v>3590</v>
      </c>
      <c r="I354" s="23" t="s">
        <v>3705</v>
      </c>
      <c r="J354" s="5" t="str">
        <f ca="1">IFERROR(__xludf.DUMMYFUNCTION("GOOGLETRANSLATE(G354,""ar"",""en"")"),"Fifth")</f>
        <v>Fifth</v>
      </c>
      <c r="K354" s="5">
        <v>558958329</v>
      </c>
      <c r="L354" s="5"/>
      <c r="M354" s="5" t="str">
        <f ca="1">IFERROR(__xludf.DUMMYFUNCTION("GOOGLETRANSLATE(J354,""ar"",""en"")"),"#VALUE!")</f>
        <v>#VALUE!</v>
      </c>
      <c r="N354" s="6" t="s">
        <v>1510</v>
      </c>
      <c r="O354" s="10" t="s">
        <v>1511</v>
      </c>
    </row>
    <row r="355" spans="1:15" ht="20.100000000000001" customHeight="1" thickTop="1" thickBot="1">
      <c r="A355" s="1"/>
      <c r="B355" s="22">
        <v>354</v>
      </c>
      <c r="C355" s="22" t="s">
        <v>1512</v>
      </c>
      <c r="D355" s="22" t="s">
        <v>13</v>
      </c>
      <c r="E355" s="23" t="s">
        <v>1513</v>
      </c>
      <c r="F355" s="22" t="str">
        <f ca="1">IFERROR(__xludf.DUMMYFUNCTION("GOOGLETRANSLATE(E355,""ar"",""en"")"),"Zainab Al Mohsen Grocery")</f>
        <v>Zainab Al Mohsen Grocery</v>
      </c>
      <c r="G355" s="22" t="s">
        <v>3582</v>
      </c>
      <c r="H355" s="24" t="s">
        <v>3590</v>
      </c>
      <c r="I355" s="23" t="s">
        <v>3705</v>
      </c>
      <c r="J355" s="5" t="str">
        <f ca="1">IFERROR(__xludf.DUMMYFUNCTION("GOOGLETRANSLATE(G355,""ar"",""en"")"),"Fifth")</f>
        <v>Fifth</v>
      </c>
      <c r="K355" s="11">
        <v>575362149</v>
      </c>
      <c r="L355" s="11" t="s">
        <v>1514</v>
      </c>
      <c r="M355" s="5" t="str">
        <f ca="1">IFERROR(__xludf.DUMMYFUNCTION("GOOGLETRANSLATE(J355,""ar"",""en"")"),"science")</f>
        <v>science</v>
      </c>
      <c r="N355" s="12" t="s">
        <v>1515</v>
      </c>
      <c r="O355" s="10" t="s">
        <v>1516</v>
      </c>
    </row>
    <row r="356" spans="1:15" ht="20.100000000000001" customHeight="1" thickTop="1" thickBot="1">
      <c r="A356" s="1"/>
      <c r="B356" s="22">
        <v>355</v>
      </c>
      <c r="C356" s="22" t="s">
        <v>1517</v>
      </c>
      <c r="D356" s="22" t="s">
        <v>13</v>
      </c>
      <c r="E356" s="22" t="s">
        <v>1518</v>
      </c>
      <c r="F356" s="22" t="str">
        <f ca="1">IFERROR(__xludf.DUMMYFUNCTION("GOOGLETRANSLATE(E356,""ar"",""en"")"),"Beach Gate Supplies")</f>
        <v>Beach Gate Supplies</v>
      </c>
      <c r="G356" s="22" t="s">
        <v>3582</v>
      </c>
      <c r="H356" s="24" t="s">
        <v>3590</v>
      </c>
      <c r="I356" s="22" t="s">
        <v>3647</v>
      </c>
      <c r="J356" s="5" t="str">
        <f ca="1">IFERROR(__xludf.DUMMYFUNCTION("GOOGLETRANSLATE(G356,""ar"",""en"")"),"Al-Majidiyah")</f>
        <v>Al-Majidiyah</v>
      </c>
      <c r="K356" s="5">
        <v>542994711</v>
      </c>
      <c r="L356" s="5" t="s">
        <v>1519</v>
      </c>
      <c r="M356" s="5" t="str">
        <f ca="1">IFERROR(__xludf.DUMMYFUNCTION("GOOGLETRANSLATE(J356,""ar"",""en"")"),"Abdulmalik")</f>
        <v>Abdulmalik</v>
      </c>
      <c r="N356" s="6" t="s">
        <v>1520</v>
      </c>
      <c r="O356" s="10" t="s">
        <v>1521</v>
      </c>
    </row>
    <row r="357" spans="1:15" ht="20.100000000000001" customHeight="1" thickTop="1" thickBot="1">
      <c r="A357" s="1"/>
      <c r="B357" s="22">
        <v>356</v>
      </c>
      <c r="C357" s="22" t="s">
        <v>1522</v>
      </c>
      <c r="D357" s="22" t="s">
        <v>13</v>
      </c>
      <c r="E357" s="23" t="s">
        <v>1523</v>
      </c>
      <c r="F357" s="22" t="str">
        <f ca="1">IFERROR(__xludf.DUMMYFUNCTION("GOOGLETRANSLATE(E357,""ar"",""en"")"),"Najmat Al-Ghadir Markets")</f>
        <v>Najmat Al-Ghadir Markets</v>
      </c>
      <c r="G357" s="22" t="s">
        <v>3582</v>
      </c>
      <c r="H357" s="24" t="s">
        <v>3590</v>
      </c>
      <c r="I357" s="23" t="s">
        <v>3693</v>
      </c>
      <c r="J357" s="5" t="str">
        <f ca="1">IFERROR(__xludf.DUMMYFUNCTION("GOOGLETRANSLATE(G357,""ar"",""en"")"),"Al-Ghadir")</f>
        <v>Al-Ghadir</v>
      </c>
      <c r="K357" s="11">
        <v>534602594</v>
      </c>
      <c r="L357" s="11" t="s">
        <v>1524</v>
      </c>
      <c r="M357" s="5" t="str">
        <f ca="1">IFERROR(__xludf.DUMMYFUNCTION("GOOGLETRANSLATE(J357,""ar"",""en"")"),"Abu Issa")</f>
        <v>Abu Issa</v>
      </c>
      <c r="N357" s="12" t="s">
        <v>1525</v>
      </c>
      <c r="O357" s="10" t="s">
        <v>1526</v>
      </c>
    </row>
    <row r="358" spans="1:15" ht="20.100000000000001" customHeight="1" thickTop="1" thickBot="1">
      <c r="A358" s="1"/>
      <c r="B358" s="22">
        <v>357</v>
      </c>
      <c r="C358" s="22" t="s">
        <v>1527</v>
      </c>
      <c r="D358" s="22" t="s">
        <v>13</v>
      </c>
      <c r="E358" s="22" t="s">
        <v>1528</v>
      </c>
      <c r="F358" s="22" t="str">
        <f ca="1">IFERROR(__xludf.DUMMYFUNCTION("GOOGLETRANSLATE(E358,""ar"",""en"")"),"Nahoum Al-Khairat Company")</f>
        <v>Nahoum Al-Khairat Company</v>
      </c>
      <c r="G358" s="22" t="s">
        <v>3582</v>
      </c>
      <c r="H358" s="24" t="s">
        <v>3590</v>
      </c>
      <c r="I358" s="22" t="s">
        <v>3650</v>
      </c>
      <c r="J358" s="5" t="str">
        <f ca="1">IFERROR(__xludf.DUMMYFUNCTION("GOOGLETRANSLATE(G358,""ar"",""en"")"),"Al-Kawthar")</f>
        <v>Al-Kawthar</v>
      </c>
      <c r="K358" s="5">
        <v>531257260</v>
      </c>
      <c r="L358" s="5"/>
      <c r="M358" s="5" t="str">
        <f ca="1">IFERROR(__xludf.DUMMYFUNCTION("GOOGLETRANSLATE(J358,""ar"",""en"")"),"#VALUE!")</f>
        <v>#VALUE!</v>
      </c>
      <c r="N358" s="6" t="s">
        <v>1529</v>
      </c>
      <c r="O358" s="10" t="s">
        <v>1530</v>
      </c>
    </row>
    <row r="359" spans="1:15" ht="20.100000000000001" customHeight="1" thickTop="1" thickBot="1">
      <c r="A359" s="1"/>
      <c r="B359" s="22">
        <v>358</v>
      </c>
      <c r="C359" s="22" t="s">
        <v>1531</v>
      </c>
      <c r="D359" s="22" t="s">
        <v>13</v>
      </c>
      <c r="E359" s="23" t="s">
        <v>1532</v>
      </c>
      <c r="F359" s="22" t="str">
        <f ca="1">IFERROR(__xludf.DUMMYFUNCTION("GOOGLETRANSLATE(E359,""ar"",""en"")"),"West Gate Supplies")</f>
        <v>West Gate Supplies</v>
      </c>
      <c r="G359" s="22" t="s">
        <v>3582</v>
      </c>
      <c r="H359" s="24" t="s">
        <v>3590</v>
      </c>
      <c r="I359" s="22" t="s">
        <v>3650</v>
      </c>
      <c r="J359" s="5" t="str">
        <f ca="1">IFERROR(__xludf.DUMMYFUNCTION("GOOGLETRANSLATE(G359,""ar"",""en"")"),"Al-Kawthar")</f>
        <v>Al-Kawthar</v>
      </c>
      <c r="K359" s="11"/>
      <c r="L359" s="11"/>
      <c r="M359" s="5" t="str">
        <f ca="1">IFERROR(__xludf.DUMMYFUNCTION("GOOGLETRANSLATE(J359,""ar"",""en"")"),"#VALUE!")</f>
        <v>#VALUE!</v>
      </c>
      <c r="N359" s="12" t="s">
        <v>1533</v>
      </c>
      <c r="O359" s="10" t="s">
        <v>1534</v>
      </c>
    </row>
    <row r="360" spans="1:15" ht="20.100000000000001" customHeight="1" thickTop="1" thickBot="1">
      <c r="A360" s="1"/>
      <c r="B360" s="22">
        <v>359</v>
      </c>
      <c r="C360" s="22" t="s">
        <v>1535</v>
      </c>
      <c r="D360" s="22" t="s">
        <v>13</v>
      </c>
      <c r="E360" s="22" t="s">
        <v>1536</v>
      </c>
      <c r="F360" s="22" t="str">
        <f ca="1">IFERROR(__xludf.DUMMYFUNCTION("GOOGLETRANSLATE(E360,""ar"",""en"")"),"Joan Food Center")</f>
        <v>Joan Food Center</v>
      </c>
      <c r="G360" s="22" t="s">
        <v>3582</v>
      </c>
      <c r="H360" s="24" t="s">
        <v>3590</v>
      </c>
      <c r="I360" s="22" t="s">
        <v>3650</v>
      </c>
      <c r="J360" s="5" t="str">
        <f ca="1">IFERROR(__xludf.DUMMYFUNCTION("GOOGLETRANSLATE(G360,""ar"",""en"")"),"Al-Kawthar")</f>
        <v>Al-Kawthar</v>
      </c>
      <c r="K360" s="5">
        <v>552930007</v>
      </c>
      <c r="L360" s="5"/>
      <c r="M360" s="5" t="str">
        <f ca="1">IFERROR(__xludf.DUMMYFUNCTION("GOOGLETRANSLATE(J360,""ar"",""en"")"),"#VALUE!")</f>
        <v>#VALUE!</v>
      </c>
      <c r="N360" s="6" t="s">
        <v>1537</v>
      </c>
      <c r="O360" s="10" t="s">
        <v>1538</v>
      </c>
    </row>
    <row r="361" spans="1:15" ht="20.100000000000001" customHeight="1" thickTop="1" thickBot="1">
      <c r="A361" s="1"/>
      <c r="B361" s="22">
        <v>360</v>
      </c>
      <c r="C361" s="22" t="s">
        <v>1539</v>
      </c>
      <c r="D361" s="22" t="s">
        <v>13</v>
      </c>
      <c r="E361" s="23" t="s">
        <v>1540</v>
      </c>
      <c r="F361" s="22" t="str">
        <f ca="1">IFERROR(__xludf.DUMMYFUNCTION("GOOGLETRANSLATE(E361,""ar"",""en"")"),"Arkan Al-Na'ma Foundation")</f>
        <v>Arkan Al-Na'ma Foundation</v>
      </c>
      <c r="G361" s="22" t="s">
        <v>3582</v>
      </c>
      <c r="H361" s="24" t="s">
        <v>3590</v>
      </c>
      <c r="I361" s="22" t="s">
        <v>3650</v>
      </c>
      <c r="J361" s="5" t="str">
        <f ca="1">IFERROR(__xludf.DUMMYFUNCTION("GOOGLETRANSLATE(G361,""ar"",""en"")"),"Al-Kawthar")</f>
        <v>Al-Kawthar</v>
      </c>
      <c r="K361" s="11">
        <v>565275640</v>
      </c>
      <c r="L361" s="11"/>
      <c r="M361" s="5" t="str">
        <f ca="1">IFERROR(__xludf.DUMMYFUNCTION("GOOGLETRANSLATE(J361,""ar"",""en"")"),"#VALUE!")</f>
        <v>#VALUE!</v>
      </c>
      <c r="N361" s="12" t="s">
        <v>1541</v>
      </c>
      <c r="O361" s="10" t="s">
        <v>1542</v>
      </c>
    </row>
    <row r="362" spans="1:15" ht="20.100000000000001" customHeight="1" thickTop="1" thickBot="1">
      <c r="A362" s="1"/>
      <c r="B362" s="22">
        <v>361</v>
      </c>
      <c r="C362" s="22" t="s">
        <v>1543</v>
      </c>
      <c r="D362" s="22" t="s">
        <v>13</v>
      </c>
      <c r="E362" s="22" t="s">
        <v>1085</v>
      </c>
      <c r="F362" s="22" t="str">
        <f ca="1">IFERROR(__xludf.DUMMYFUNCTION("GOOGLETRANSLATE(E362,""ar"",""en"")"),"Al-Dhahab Supplies")</f>
        <v>Al-Dhahab Supplies</v>
      </c>
      <c r="G362" s="22" t="s">
        <v>3582</v>
      </c>
      <c r="H362" s="24" t="s">
        <v>3590</v>
      </c>
      <c r="I362" s="22" t="s">
        <v>3636</v>
      </c>
      <c r="J362" s="5" t="str">
        <f ca="1">IFERROR(__xludf.DUMMYFUNCTION("GOOGLETRANSLATE(G362,""ar"",""en"")"),"Lake")</f>
        <v>Lake</v>
      </c>
      <c r="K362" s="5"/>
      <c r="L362" s="5"/>
      <c r="M362" s="5" t="str">
        <f ca="1">IFERROR(__xludf.DUMMYFUNCTION("GOOGLETRANSLATE(J362,""ar"",""en"")"),"#VALUE!")</f>
        <v>#VALUE!</v>
      </c>
      <c r="N362" s="6" t="s">
        <v>1544</v>
      </c>
      <c r="O362" s="10" t="s">
        <v>1545</v>
      </c>
    </row>
    <row r="363" spans="1:15" ht="20.100000000000001" customHeight="1" thickTop="1" thickBot="1">
      <c r="A363" s="1"/>
      <c r="B363" s="22">
        <v>362</v>
      </c>
      <c r="C363" s="22" t="s">
        <v>1546</v>
      </c>
      <c r="D363" s="22" t="s">
        <v>13</v>
      </c>
      <c r="E363" s="23" t="s">
        <v>1547</v>
      </c>
      <c r="F363" s="22" t="str">
        <f ca="1">IFERROR(__xludf.DUMMYFUNCTION("GOOGLETRANSLATE(E363,""ar"",""en"")"),"Al-Jabrah Markets")</f>
        <v>Al-Jabrah Markets</v>
      </c>
      <c r="G363" s="22" t="s">
        <v>3582</v>
      </c>
      <c r="H363" s="24" t="s">
        <v>3590</v>
      </c>
      <c r="I363" s="22" t="s">
        <v>3647</v>
      </c>
      <c r="J363" s="5" t="str">
        <f ca="1">IFERROR(__xludf.DUMMYFUNCTION("GOOGLETRANSLATE(G363,""ar"",""en"")"),"Al-Majidiyah")</f>
        <v>Al-Majidiyah</v>
      </c>
      <c r="K363" s="11">
        <v>502497134</v>
      </c>
      <c r="L363" s="11" t="s">
        <v>1548</v>
      </c>
      <c r="M363" s="5" t="str">
        <f ca="1">IFERROR(__xludf.DUMMYFUNCTION("GOOGLETRANSLATE(J363,""ar"",""en"")"),"Ruqayyah")</f>
        <v>Ruqayyah</v>
      </c>
      <c r="N363" s="12" t="s">
        <v>1549</v>
      </c>
      <c r="O363" s="10" t="s">
        <v>1550</v>
      </c>
    </row>
    <row r="364" spans="1:15" ht="20.100000000000001" customHeight="1" thickTop="1" thickBot="1">
      <c r="A364" s="1"/>
      <c r="B364" s="22">
        <v>363</v>
      </c>
      <c r="C364" s="22" t="s">
        <v>1551</v>
      </c>
      <c r="D364" s="22" t="s">
        <v>13</v>
      </c>
      <c r="E364" s="22" t="s">
        <v>1552</v>
      </c>
      <c r="F364" s="22" t="str">
        <f ca="1">IFERROR(__xludf.DUMMYFUNCTION("GOOGLETRANSLATE(E364,""ar"",""en"")"),"Nahla Al Wadi Company")</f>
        <v>Nahla Al Wadi Company</v>
      </c>
      <c r="G364" s="22" t="s">
        <v>3582</v>
      </c>
      <c r="H364" s="24" t="s">
        <v>3590</v>
      </c>
      <c r="I364" s="22" t="s">
        <v>3647</v>
      </c>
      <c r="J364" s="5" t="str">
        <f ca="1">IFERROR(__xludf.DUMMYFUNCTION("GOOGLETRANSLATE(G364,""ar"",""en"")"),"Al-Majidiyah")</f>
        <v>Al-Majidiyah</v>
      </c>
      <c r="K364" s="5">
        <v>578339284</v>
      </c>
      <c r="L364" s="5"/>
      <c r="M364" s="5" t="str">
        <f ca="1">IFERROR(__xludf.DUMMYFUNCTION("GOOGLETRANSLATE(J364,""ar"",""en"")"),"#VALUE!")</f>
        <v>#VALUE!</v>
      </c>
      <c r="N364" s="6" t="s">
        <v>1553</v>
      </c>
      <c r="O364" s="10" t="s">
        <v>1554</v>
      </c>
    </row>
    <row r="365" spans="1:15" ht="20.100000000000001" customHeight="1" thickTop="1" thickBot="1">
      <c r="A365" s="1"/>
      <c r="B365" s="22">
        <v>364</v>
      </c>
      <c r="C365" s="22" t="s">
        <v>1555</v>
      </c>
      <c r="D365" s="22" t="s">
        <v>13</v>
      </c>
      <c r="E365" s="23" t="s">
        <v>1556</v>
      </c>
      <c r="F365" s="22" t="str">
        <f ca="1">IFERROR(__xludf.DUMMYFUNCTION("GOOGLETRANSLATE(E365,""ar"",""en"")"),"One-Stop Shop Supplies")</f>
        <v>One-Stop Shop Supplies</v>
      </c>
      <c r="G365" s="22" t="s">
        <v>3582</v>
      </c>
      <c r="H365" s="24" t="s">
        <v>3590</v>
      </c>
      <c r="I365" s="23" t="s">
        <v>3625</v>
      </c>
      <c r="J365" s="5" t="str">
        <f ca="1">IFERROR(__xludf.DUMMYFUNCTION("GOOGLETRANSLATE(G365,""ar"",""en"")"),"Narcissus")</f>
        <v>Narcissus</v>
      </c>
      <c r="K365" s="11">
        <v>536568025</v>
      </c>
      <c r="L365" s="11"/>
      <c r="M365" s="5" t="str">
        <f ca="1">IFERROR(__xludf.DUMMYFUNCTION("GOOGLETRANSLATE(J365,""ar"",""en"")"),"#VALUE!")</f>
        <v>#VALUE!</v>
      </c>
      <c r="N365" s="12" t="s">
        <v>1557</v>
      </c>
      <c r="O365" s="10" t="s">
        <v>1558</v>
      </c>
    </row>
    <row r="366" spans="1:15" ht="20.100000000000001" customHeight="1" thickTop="1" thickBot="1">
      <c r="A366" s="1"/>
      <c r="B366" s="22">
        <v>365</v>
      </c>
      <c r="C366" s="22" t="s">
        <v>1559</v>
      </c>
      <c r="D366" s="22" t="s">
        <v>13</v>
      </c>
      <c r="E366" s="22" t="s">
        <v>1560</v>
      </c>
      <c r="F366" s="22" t="str">
        <f ca="1">IFERROR(__xludf.DUMMYFUNCTION("GOOGLETRANSLATE(E366,""ar"",""en"")"),"Your grocery store")</f>
        <v>Your grocery store</v>
      </c>
      <c r="G366" s="22" t="s">
        <v>3582</v>
      </c>
      <c r="H366" s="24" t="s">
        <v>3590</v>
      </c>
      <c r="I366" s="22" t="s">
        <v>3625</v>
      </c>
      <c r="J366" s="5" t="str">
        <f ca="1">IFERROR(__xludf.DUMMYFUNCTION("GOOGLETRANSLATE(G366,""ar"",""en"")"),"Narcissus")</f>
        <v>Narcissus</v>
      </c>
      <c r="K366" s="5"/>
      <c r="L366" s="5"/>
      <c r="M366" s="5" t="str">
        <f ca="1">IFERROR(__xludf.DUMMYFUNCTION("GOOGLETRANSLATE(J366,""ar"",""en"")"),"#VALUE!")</f>
        <v>#VALUE!</v>
      </c>
      <c r="N366" s="6" t="s">
        <v>1561</v>
      </c>
      <c r="O366" s="10" t="s">
        <v>1562</v>
      </c>
    </row>
    <row r="367" spans="1:15" ht="20.100000000000001" customHeight="1" thickTop="1" thickBot="1">
      <c r="A367" s="1"/>
      <c r="B367" s="22">
        <v>366</v>
      </c>
      <c r="C367" s="22" t="s">
        <v>1563</v>
      </c>
      <c r="D367" s="22" t="s">
        <v>13</v>
      </c>
      <c r="E367" s="23" t="s">
        <v>1564</v>
      </c>
      <c r="F367" s="22" t="str">
        <f ca="1">IFERROR(__xludf.DUMMYFUNCTION("GOOGLETRANSLATE(E367,""ar"",""en"")"),"Rabou Al-Jazi Foundation")</f>
        <v>Rabou Al-Jazi Foundation</v>
      </c>
      <c r="G367" s="22" t="s">
        <v>3582</v>
      </c>
      <c r="H367" s="24" t="s">
        <v>3590</v>
      </c>
      <c r="I367" s="22" t="s">
        <v>469</v>
      </c>
      <c r="J367" s="5" t="str">
        <f ca="1">IFERROR(__xludf.DUMMYFUNCTION("GOOGLETRANSLATE(G367,""ar"",""en"")"),"Badr neighborhood")</f>
        <v>Badr neighborhood</v>
      </c>
      <c r="K367" s="11">
        <v>554369553</v>
      </c>
      <c r="L367" s="11" t="s">
        <v>919</v>
      </c>
      <c r="M367" s="5" t="str">
        <f ca="1">IFERROR(__xludf.DUMMYFUNCTION("GOOGLETRANSLATE(J367,""ar"",""en"")"),"righteous")</f>
        <v>righteous</v>
      </c>
      <c r="N367" s="12" t="s">
        <v>1565</v>
      </c>
      <c r="O367" s="10" t="s">
        <v>1566</v>
      </c>
    </row>
    <row r="368" spans="1:15" ht="20.100000000000001" customHeight="1" thickTop="1" thickBot="1">
      <c r="A368" s="1"/>
      <c r="B368" s="22">
        <v>367</v>
      </c>
      <c r="C368" s="22" t="s">
        <v>1567</v>
      </c>
      <c r="D368" s="22" t="s">
        <v>13</v>
      </c>
      <c r="E368" s="22" t="s">
        <v>1568</v>
      </c>
      <c r="F368" s="22" t="str">
        <f ca="1">IFERROR(__xludf.DUMMYFUNCTION("GOOGLETRANSLATE(E368,""ar"",""en"")"),"Bright Orchard Supplies")</f>
        <v>Bright Orchard Supplies</v>
      </c>
      <c r="G368" s="22" t="s">
        <v>3584</v>
      </c>
      <c r="H368" s="24" t="s">
        <v>3592</v>
      </c>
      <c r="I368" s="23" t="s">
        <v>2913</v>
      </c>
      <c r="J368" s="5" t="str">
        <f ca="1">IFERROR(__xludf.DUMMYFUNCTION("GOOGLETRANSLATE(G368,""ar"",""en"")"),"Cordoba")</f>
        <v>Cordoba</v>
      </c>
      <c r="K368" s="5">
        <v>510817688</v>
      </c>
      <c r="L368" s="5"/>
      <c r="M368" s="5" t="str">
        <f ca="1">IFERROR(__xludf.DUMMYFUNCTION("GOOGLETRANSLATE(J368,""ar"",""en"")"),"#VALUE!")</f>
        <v>#VALUE!</v>
      </c>
      <c r="N368" s="6" t="s">
        <v>1569</v>
      </c>
      <c r="O368" s="10" t="s">
        <v>1570</v>
      </c>
    </row>
    <row r="369" spans="1:15" ht="20.100000000000001" customHeight="1" thickTop="1" thickBot="1">
      <c r="A369" s="1"/>
      <c r="B369" s="22">
        <v>368</v>
      </c>
      <c r="C369" s="22" t="s">
        <v>1571</v>
      </c>
      <c r="D369" s="22" t="s">
        <v>13</v>
      </c>
      <c r="E369" s="23" t="s">
        <v>1572</v>
      </c>
      <c r="F369" s="22" t="str">
        <f ca="1">IFERROR(__xludf.DUMMYFUNCTION("GOOGLETRANSLATE(E369,""ar"",""en"")"),"Jannah Razi Bin Al Khalif Supplies")</f>
        <v>Jannah Razi Bin Al Khalif Supplies</v>
      </c>
      <c r="G369" s="22" t="s">
        <v>3584</v>
      </c>
      <c r="H369" s="24" t="s">
        <v>3592</v>
      </c>
      <c r="I369" s="23" t="s">
        <v>2913</v>
      </c>
      <c r="J369" s="5" t="str">
        <f ca="1">IFERROR(__xludf.DUMMYFUNCTION("GOOGLETRANSLATE(G369,""ar"",""en"")"),"Cordoba")</f>
        <v>Cordoba</v>
      </c>
      <c r="K369" s="11">
        <v>561537194</v>
      </c>
      <c r="L369" s="11"/>
      <c r="M369" s="5" t="str">
        <f ca="1">IFERROR(__xludf.DUMMYFUNCTION("GOOGLETRANSLATE(J369,""ar"",""en"")"),"#VALUE!")</f>
        <v>#VALUE!</v>
      </c>
      <c r="N369" s="12" t="s">
        <v>1573</v>
      </c>
      <c r="O369" s="10" t="s">
        <v>1574</v>
      </c>
    </row>
    <row r="370" spans="1:15" ht="20.100000000000001" customHeight="1" thickTop="1" thickBot="1">
      <c r="A370" s="1"/>
      <c r="B370" s="22">
        <v>369</v>
      </c>
      <c r="C370" s="22" t="s">
        <v>1575</v>
      </c>
      <c r="D370" s="22" t="s">
        <v>13</v>
      </c>
      <c r="E370" s="22" t="s">
        <v>1576</v>
      </c>
      <c r="F370" s="22" t="str">
        <f ca="1">IFERROR(__xludf.DUMMYFUNCTION("GOOGLETRANSLATE(E370,""ar"",""en"")"),"Zainab Ali Al-Marhoon Provisions")</f>
        <v>Zainab Ali Al-Marhoon Provisions</v>
      </c>
      <c r="G370" s="22" t="s">
        <v>3584</v>
      </c>
      <c r="H370" s="24" t="s">
        <v>3592</v>
      </c>
      <c r="I370" s="23" t="s">
        <v>2913</v>
      </c>
      <c r="J370" s="5" t="str">
        <f ca="1">IFERROR(__xludf.DUMMYFUNCTION("GOOGLETRANSLATE(G370,""ar"",""en"")"),"Cordoba")</f>
        <v>Cordoba</v>
      </c>
      <c r="K370" s="5">
        <v>533684554</v>
      </c>
      <c r="L370" s="5" t="s">
        <v>919</v>
      </c>
      <c r="M370" s="5" t="str">
        <f ca="1">IFERROR(__xludf.DUMMYFUNCTION("GOOGLETRANSLATE(J370,""ar"",""en"")"),"righteous")</f>
        <v>righteous</v>
      </c>
      <c r="N370" s="6" t="s">
        <v>1577</v>
      </c>
      <c r="O370" s="10" t="s">
        <v>1578</v>
      </c>
    </row>
    <row r="371" spans="1:15" ht="20.100000000000001" customHeight="1" thickTop="1" thickBot="1">
      <c r="A371" s="1"/>
      <c r="B371" s="22">
        <v>370</v>
      </c>
      <c r="C371" s="22" t="s">
        <v>1579</v>
      </c>
      <c r="D371" s="22" t="s">
        <v>13</v>
      </c>
      <c r="E371" s="23" t="s">
        <v>1580</v>
      </c>
      <c r="F371" s="22" t="str">
        <f ca="1">IFERROR(__xludf.DUMMYFUNCTION("GOOGLETRANSLATE(E371,""ar"",""en"")"),"Al-Aqila Grocery")</f>
        <v>Al-Aqila Grocery</v>
      </c>
      <c r="G371" s="22" t="s">
        <v>3584</v>
      </c>
      <c r="H371" s="24" t="s">
        <v>3592</v>
      </c>
      <c r="I371" s="23" t="s">
        <v>2913</v>
      </c>
      <c r="J371" s="5" t="str">
        <f ca="1">IFERROR(__xludf.DUMMYFUNCTION("GOOGLETRANSLATE(G371,""ar"",""en"")"),"Cordoba")</f>
        <v>Cordoba</v>
      </c>
      <c r="K371" s="11">
        <v>505822992</v>
      </c>
      <c r="L371" s="11"/>
      <c r="M371" s="5" t="str">
        <f ca="1">IFERROR(__xludf.DUMMYFUNCTION("GOOGLETRANSLATE(J371,""ar"",""en"")"),"#VALUE!")</f>
        <v>#VALUE!</v>
      </c>
      <c r="N371" s="12" t="s">
        <v>1581</v>
      </c>
      <c r="O371" s="10" t="s">
        <v>1582</v>
      </c>
    </row>
    <row r="372" spans="1:15" ht="20.100000000000001" customHeight="1" thickTop="1" thickBot="1">
      <c r="A372" s="1"/>
      <c r="B372" s="22">
        <v>371</v>
      </c>
      <c r="C372" s="22" t="s">
        <v>1583</v>
      </c>
      <c r="D372" s="22" t="s">
        <v>13</v>
      </c>
      <c r="E372" s="22" t="s">
        <v>1584</v>
      </c>
      <c r="F372" s="22" t="str">
        <f ca="1">IFERROR(__xludf.DUMMYFUNCTION("GOOGLETRANSLATE(E372,""ar"",""en"")"),"Noor Grocery - Good Tidings")</f>
        <v>Noor Grocery - Good Tidings</v>
      </c>
      <c r="G372" s="22" t="s">
        <v>3584</v>
      </c>
      <c r="H372" s="24" t="s">
        <v>3592</v>
      </c>
      <c r="I372" s="23" t="s">
        <v>2913</v>
      </c>
      <c r="J372" s="5" t="str">
        <f ca="1">IFERROR(__xludf.DUMMYFUNCTION("GOOGLETRANSLATE(G372,""ar"",""en"")"),"Cordoba")</f>
        <v>Cordoba</v>
      </c>
      <c r="K372" s="5">
        <v>544482665</v>
      </c>
      <c r="L372" s="5" t="s">
        <v>372</v>
      </c>
      <c r="M372" s="5" t="str">
        <f ca="1">IFERROR(__xludf.DUMMYFUNCTION("GOOGLETRANSLATE(J372,""ar"",""en"")"),"Abu Ali")</f>
        <v>Abu Ali</v>
      </c>
      <c r="N372" s="6" t="s">
        <v>1585</v>
      </c>
      <c r="O372" s="10" t="s">
        <v>1586</v>
      </c>
    </row>
    <row r="373" spans="1:15" ht="20.100000000000001" customHeight="1" thickTop="1" thickBot="1">
      <c r="A373" s="1"/>
      <c r="B373" s="22">
        <v>372</v>
      </c>
      <c r="C373" s="22" t="s">
        <v>1587</v>
      </c>
      <c r="D373" s="22" t="s">
        <v>13</v>
      </c>
      <c r="E373" s="23" t="s">
        <v>1588</v>
      </c>
      <c r="F373" s="22" t="str">
        <f ca="1">IFERROR(__xludf.DUMMYFUNCTION("GOOGLETRANSLATE(E373,""ar"",""en"")"),"Najma Limited Supplies")</f>
        <v>Najma Limited Supplies</v>
      </c>
      <c r="G373" s="22" t="s">
        <v>3584</v>
      </c>
      <c r="H373" s="24" t="s">
        <v>3592</v>
      </c>
      <c r="I373" s="23" t="s">
        <v>2913</v>
      </c>
      <c r="J373" s="5" t="str">
        <f ca="1">IFERROR(__xludf.DUMMYFUNCTION("GOOGLETRANSLATE(G373,""ar"",""en"")"),"Cordoba")</f>
        <v>Cordoba</v>
      </c>
      <c r="K373" s="11">
        <v>571293153</v>
      </c>
      <c r="L373" s="11"/>
      <c r="M373" s="5" t="str">
        <f ca="1">IFERROR(__xludf.DUMMYFUNCTION("GOOGLETRANSLATE(J373,""ar"",""en"")"),"#VALUE!")</f>
        <v>#VALUE!</v>
      </c>
      <c r="N373" s="12" t="s">
        <v>1589</v>
      </c>
      <c r="O373" s="10" t="s">
        <v>1590</v>
      </c>
    </row>
    <row r="374" spans="1:15" ht="20.100000000000001" customHeight="1" thickTop="1" thickBot="1">
      <c r="A374" s="1"/>
      <c r="B374" s="22">
        <v>373</v>
      </c>
      <c r="C374" s="22" t="s">
        <v>1591</v>
      </c>
      <c r="D374" s="22" t="s">
        <v>13</v>
      </c>
      <c r="E374" s="22" t="s">
        <v>1592</v>
      </c>
      <c r="F374" s="22" t="str">
        <f ca="1">IFERROR(__xludf.DUMMYFUNCTION("GOOGLETRANSLATE(E374,""ar"",""en"")"),"Al-Hassan Marketing Center")</f>
        <v>Al-Hassan Marketing Center</v>
      </c>
      <c r="G374" s="22" t="s">
        <v>3584</v>
      </c>
      <c r="H374" s="24" t="s">
        <v>3592</v>
      </c>
      <c r="I374" s="23" t="s">
        <v>2913</v>
      </c>
      <c r="J374" s="5" t="str">
        <f ca="1">IFERROR(__xludf.DUMMYFUNCTION("GOOGLETRANSLATE(G374,""ar"",""en"")"),"Cordoba Saihat")</f>
        <v>Cordoba Saihat</v>
      </c>
      <c r="K374" s="5"/>
      <c r="L374" s="5"/>
      <c r="M374" s="5" t="str">
        <f ca="1">IFERROR(__xludf.DUMMYFUNCTION("GOOGLETRANSLATE(J374,""ar"",""en"")"),"#VALUE!")</f>
        <v>#VALUE!</v>
      </c>
      <c r="N374" s="6" t="s">
        <v>1593</v>
      </c>
      <c r="O374" s="10" t="s">
        <v>1594</v>
      </c>
    </row>
    <row r="375" spans="1:15" ht="20.100000000000001" customHeight="1" thickTop="1" thickBot="1">
      <c r="A375" s="1"/>
      <c r="B375" s="22">
        <v>374</v>
      </c>
      <c r="C375" s="22" t="s">
        <v>1595</v>
      </c>
      <c r="D375" s="22" t="s">
        <v>13</v>
      </c>
      <c r="E375" s="23" t="s">
        <v>1085</v>
      </c>
      <c r="F375" s="22" t="str">
        <f ca="1">IFERROR(__xludf.DUMMYFUNCTION("GOOGLETRANSLATE(E375,""ar"",""en"")"),"Al-Dhahab Supplies")</f>
        <v>Al-Dhahab Supplies</v>
      </c>
      <c r="G375" s="22" t="s">
        <v>3584</v>
      </c>
      <c r="H375" s="24" t="s">
        <v>3592</v>
      </c>
      <c r="I375" s="23" t="s">
        <v>2913</v>
      </c>
      <c r="J375" s="5" t="str">
        <f ca="1">IFERROR(__xludf.DUMMYFUNCTION("GOOGLETRANSLATE(G375,""ar"",""en"")"),"Cordoba")</f>
        <v>Cordoba</v>
      </c>
      <c r="K375" s="11"/>
      <c r="L375" s="11"/>
      <c r="M375" s="5" t="str">
        <f ca="1">IFERROR(__xludf.DUMMYFUNCTION("GOOGLETRANSLATE(J375,""ar"",""en"")"),"#VALUE!")</f>
        <v>#VALUE!</v>
      </c>
      <c r="N375" s="12" t="s">
        <v>1596</v>
      </c>
      <c r="O375" s="10" t="s">
        <v>1597</v>
      </c>
    </row>
    <row r="376" spans="1:15" ht="20.100000000000001" customHeight="1" thickTop="1" thickBot="1">
      <c r="A376" s="1"/>
      <c r="B376" s="22">
        <v>375</v>
      </c>
      <c r="C376" s="22" t="s">
        <v>1598</v>
      </c>
      <c r="D376" s="22" t="s">
        <v>13</v>
      </c>
      <c r="E376" s="22" t="s">
        <v>1599</v>
      </c>
      <c r="F376" s="22" t="str">
        <f ca="1">IFERROR(__xludf.DUMMYFUNCTION("GOOGLETRANSLATE(E376,""ar"",""en"")"),"Wasl Al Wafaa Supplies")</f>
        <v>Wasl Al Wafaa Supplies</v>
      </c>
      <c r="G376" s="22" t="s">
        <v>3584</v>
      </c>
      <c r="H376" s="24" t="s">
        <v>3592</v>
      </c>
      <c r="I376" s="22" t="s">
        <v>203</v>
      </c>
      <c r="J376" s="5" t="str">
        <f ca="1">IFERROR(__xludf.DUMMYFUNCTION("GOOGLETRANSLATE(G376,""ar"",""en"")"),"light")</f>
        <v>light</v>
      </c>
      <c r="K376" s="5">
        <v>503237249</v>
      </c>
      <c r="L376" s="5"/>
      <c r="M376" s="5" t="str">
        <f ca="1">IFERROR(__xludf.DUMMYFUNCTION("GOOGLETRANSLATE(J376,""ar"",""en"")"),"#VALUE!")</f>
        <v>#VALUE!</v>
      </c>
      <c r="N376" s="6" t="s">
        <v>1600</v>
      </c>
      <c r="O376" s="10" t="s">
        <v>1601</v>
      </c>
    </row>
    <row r="377" spans="1:15" ht="20.100000000000001" customHeight="1" thickTop="1" thickBot="1">
      <c r="A377" s="1"/>
      <c r="B377" s="22">
        <v>376</v>
      </c>
      <c r="C377" s="22" t="s">
        <v>1602</v>
      </c>
      <c r="D377" s="22" t="s">
        <v>13</v>
      </c>
      <c r="E377" s="23" t="s">
        <v>1216</v>
      </c>
      <c r="F377" s="22" t="str">
        <f ca="1">IFERROR(__xludf.DUMMYFUNCTION("GOOGLETRANSLATE(E377,""ar"",""en"")"),"Al Muntazah Markets")</f>
        <v>Al Muntazah Markets</v>
      </c>
      <c r="G377" s="22" t="s">
        <v>3584</v>
      </c>
      <c r="H377" s="24" t="s">
        <v>3592</v>
      </c>
      <c r="I377" s="23" t="s">
        <v>203</v>
      </c>
      <c r="J377" s="5" t="str">
        <f ca="1">IFERROR(__xludf.DUMMYFUNCTION("GOOGLETRANSLATE(G377,""ar"",""en"")"),"light")</f>
        <v>light</v>
      </c>
      <c r="K377" s="11"/>
      <c r="L377" s="11"/>
      <c r="M377" s="5" t="str">
        <f ca="1">IFERROR(__xludf.DUMMYFUNCTION("GOOGLETRANSLATE(J377,""ar"",""en"")"),"#VALUE!")</f>
        <v>#VALUE!</v>
      </c>
      <c r="N377" s="12" t="s">
        <v>1603</v>
      </c>
      <c r="O377" s="10" t="s">
        <v>1604</v>
      </c>
    </row>
    <row r="378" spans="1:15" ht="20.100000000000001" customHeight="1" thickTop="1" thickBot="1">
      <c r="A378" s="1"/>
      <c r="B378" s="22">
        <v>377</v>
      </c>
      <c r="C378" s="22" t="s">
        <v>1605</v>
      </c>
      <c r="D378" s="22" t="s">
        <v>13</v>
      </c>
      <c r="E378" s="22" t="s">
        <v>1606</v>
      </c>
      <c r="F378" s="22" t="str">
        <f ca="1">IFERROR(__xludf.DUMMYFUNCTION("GOOGLETRANSLATE(E378,""ar"",""en"")"),"Smart Supplies")</f>
        <v>Smart Supplies</v>
      </c>
      <c r="G378" s="22" t="s">
        <v>3584</v>
      </c>
      <c r="H378" s="24" t="s">
        <v>3592</v>
      </c>
      <c r="I378" s="22" t="s">
        <v>3702</v>
      </c>
      <c r="J378" s="5" t="str">
        <f ca="1">IFERROR(__xludf.DUMMYFUNCTION("GOOGLETRANSLATE(G378,""ar"",""en"")"),"Al-Deera Saihat")</f>
        <v>Al-Deera Saihat</v>
      </c>
      <c r="K378" s="5"/>
      <c r="L378" s="5"/>
      <c r="M378" s="5" t="str">
        <f ca="1">IFERROR(__xludf.DUMMYFUNCTION("GOOGLETRANSLATE(J378,""ar"",""en"")"),"#VALUE!")</f>
        <v>#VALUE!</v>
      </c>
      <c r="N378" s="6" t="s">
        <v>1607</v>
      </c>
      <c r="O378" s="10" t="s">
        <v>1608</v>
      </c>
    </row>
    <row r="379" spans="1:15" ht="20.100000000000001" customHeight="1" thickTop="1" thickBot="1">
      <c r="A379" s="1"/>
      <c r="B379" s="22">
        <v>378</v>
      </c>
      <c r="C379" s="22" t="s">
        <v>1609</v>
      </c>
      <c r="D379" s="22" t="s">
        <v>13</v>
      </c>
      <c r="E379" s="22" t="s">
        <v>1610</v>
      </c>
      <c r="F379" s="22" t="str">
        <f ca="1">IFERROR(__xludf.DUMMYFUNCTION("GOOGLETRANSLATE(E379,""ar"",""en"")"),"Park Express")</f>
        <v>Park Express</v>
      </c>
      <c r="G379" s="22" t="s">
        <v>3584</v>
      </c>
      <c r="H379" s="24" t="s">
        <v>3592</v>
      </c>
      <c r="I379" s="22" t="s">
        <v>3624</v>
      </c>
      <c r="J379" s="5" t="str">
        <f ca="1">IFERROR(__xludf.DUMMYFUNCTION("GOOGLETRANSLATE(G379,""ar"",""en"")"),"flowers")</f>
        <v>flowers</v>
      </c>
      <c r="K379" s="5"/>
      <c r="L379" s="5"/>
      <c r="M379" s="5" t="str">
        <f ca="1">IFERROR(__xludf.DUMMYFUNCTION("GOOGLETRANSLATE(J379,""ar"",""en"")"),"#VALUE!")</f>
        <v>#VALUE!</v>
      </c>
      <c r="N379" s="12" t="s">
        <v>1611</v>
      </c>
      <c r="O379" s="10" t="s">
        <v>1612</v>
      </c>
    </row>
    <row r="380" spans="1:15" ht="20.100000000000001" customHeight="1" thickTop="1" thickBot="1">
      <c r="A380" s="1"/>
      <c r="B380" s="22">
        <v>379</v>
      </c>
      <c r="C380" s="22" t="s">
        <v>1613</v>
      </c>
      <c r="D380" s="22" t="s">
        <v>13</v>
      </c>
      <c r="E380" s="22" t="s">
        <v>1614</v>
      </c>
      <c r="F380" s="22" t="str">
        <f ca="1">IFERROR(__xludf.DUMMYFUNCTION("GOOGLETRANSLATE(E380,""ar"",""en"")"),"One Million Foundation")</f>
        <v>One Million Foundation</v>
      </c>
      <c r="G380" s="22" t="s">
        <v>3584</v>
      </c>
      <c r="H380" s="24" t="s">
        <v>3592</v>
      </c>
      <c r="I380" s="22" t="s">
        <v>3624</v>
      </c>
      <c r="J380" s="5" t="str">
        <f ca="1">IFERROR(__xludf.DUMMYFUNCTION("GOOGLETRANSLATE(G380,""ar"",""en"")"),"flowers")</f>
        <v>flowers</v>
      </c>
      <c r="K380" s="5">
        <v>509851141</v>
      </c>
      <c r="L380" s="5"/>
      <c r="M380" s="5" t="str">
        <f ca="1">IFERROR(__xludf.DUMMYFUNCTION("GOOGLETRANSLATE(J380,""ar"",""en"")"),"#VALUE!")</f>
        <v>#VALUE!</v>
      </c>
      <c r="N380" s="6" t="s">
        <v>1615</v>
      </c>
      <c r="O380" s="10" t="s">
        <v>1616</v>
      </c>
    </row>
    <row r="381" spans="1:15" ht="20.100000000000001" customHeight="1" thickTop="1" thickBot="1">
      <c r="A381" s="1"/>
      <c r="B381" s="22">
        <v>380</v>
      </c>
      <c r="C381" s="22" t="s">
        <v>1617</v>
      </c>
      <c r="D381" s="22" t="s">
        <v>13</v>
      </c>
      <c r="E381" s="23" t="s">
        <v>1618</v>
      </c>
      <c r="F381" s="22" t="str">
        <f ca="1">IFERROR(__xludf.DUMMYFUNCTION("GOOGLETRANSLATE(E381,""ar"",""en"")"),"Bint Al Nour Foundation")</f>
        <v>Bint Al Nour Foundation</v>
      </c>
      <c r="G381" s="22" t="s">
        <v>3584</v>
      </c>
      <c r="H381" s="24" t="s">
        <v>3592</v>
      </c>
      <c r="I381" s="22" t="s">
        <v>3624</v>
      </c>
      <c r="J381" s="5" t="str">
        <f ca="1">IFERROR(__xludf.DUMMYFUNCTION("GOOGLETRANSLATE(G381,""ar"",""en"")"),"flowers")</f>
        <v>flowers</v>
      </c>
      <c r="K381" s="11">
        <v>138565555</v>
      </c>
      <c r="L381" s="11" t="s">
        <v>1619</v>
      </c>
      <c r="M381" s="5" t="str">
        <f ca="1">IFERROR(__xludf.DUMMYFUNCTION("GOOGLETRANSLATE(J381,""ar"",""en"")"),"Abu Muhammad")</f>
        <v>Abu Muhammad</v>
      </c>
      <c r="N381" s="12" t="s">
        <v>1620</v>
      </c>
      <c r="O381" s="10" t="s">
        <v>1621</v>
      </c>
    </row>
    <row r="382" spans="1:15" ht="20.100000000000001" customHeight="1" thickTop="1" thickBot="1">
      <c r="A382" s="1"/>
      <c r="B382" s="22">
        <v>381</v>
      </c>
      <c r="C382" s="22" t="s">
        <v>1622</v>
      </c>
      <c r="D382" s="22" t="s">
        <v>13</v>
      </c>
      <c r="E382" s="22" t="s">
        <v>1623</v>
      </c>
      <c r="F382" s="22" t="str">
        <f ca="1">IFERROR(__xludf.DUMMYFUNCTION("GOOGLETRANSLATE(E382,""ar"",""en"")"),"Jassim Ali Al-Shaib Grocery")</f>
        <v>Jassim Ali Al-Shaib Grocery</v>
      </c>
      <c r="G382" s="22" t="s">
        <v>3584</v>
      </c>
      <c r="H382" s="24" t="s">
        <v>3592</v>
      </c>
      <c r="I382" s="22" t="s">
        <v>3624</v>
      </c>
      <c r="J382" s="5" t="str">
        <f ca="1">IFERROR(__xludf.DUMMYFUNCTION("GOOGLETRANSLATE(G382,""ar"",""en"")"),"flowers")</f>
        <v>flowers</v>
      </c>
      <c r="K382" s="5"/>
      <c r="L382" s="5"/>
      <c r="M382" s="5" t="str">
        <f ca="1">IFERROR(__xludf.DUMMYFUNCTION("GOOGLETRANSLATE(J382,""ar"",""en"")"),"#VALUE!")</f>
        <v>#VALUE!</v>
      </c>
      <c r="N382" s="6" t="s">
        <v>1624</v>
      </c>
      <c r="O382" s="10" t="s">
        <v>1625</v>
      </c>
    </row>
    <row r="383" spans="1:15" ht="20.100000000000001" customHeight="1" thickTop="1" thickBot="1">
      <c r="A383" s="1"/>
      <c r="B383" s="22">
        <v>382</v>
      </c>
      <c r="C383" s="22" t="s">
        <v>1626</v>
      </c>
      <c r="D383" s="22" t="s">
        <v>13</v>
      </c>
      <c r="E383" s="23" t="s">
        <v>1627</v>
      </c>
      <c r="F383" s="22" t="str">
        <f ca="1">IFERROR(__xludf.DUMMYFUNCTION("GOOGLETRANSLATE(E383,""ar"",""en"")"),"Salwa Shua'i Ghawi Grocery")</f>
        <v>Salwa Shua'i Ghawi Grocery</v>
      </c>
      <c r="G383" s="22" t="s">
        <v>3584</v>
      </c>
      <c r="H383" s="24" t="s">
        <v>3592</v>
      </c>
      <c r="I383" s="22" t="s">
        <v>3624</v>
      </c>
      <c r="J383" s="5" t="str">
        <f ca="1">IFERROR(__xludf.DUMMYFUNCTION("GOOGLETRANSLATE(G383,""ar"",""en"")"),"flowers")</f>
        <v>flowers</v>
      </c>
      <c r="K383" s="11">
        <v>576410406</v>
      </c>
      <c r="L383" s="11" t="s">
        <v>1628</v>
      </c>
      <c r="M383" s="5" t="str">
        <f ca="1">IFERROR(__xludf.DUMMYFUNCTION("GOOGLETRANSLATE(J383,""ar"",""en"")"),"David")</f>
        <v>David</v>
      </c>
      <c r="N383" s="12" t="s">
        <v>1629</v>
      </c>
      <c r="O383" s="10" t="s">
        <v>1630</v>
      </c>
    </row>
    <row r="384" spans="1:15" ht="20.100000000000001" customHeight="1" thickTop="1" thickBot="1">
      <c r="A384" s="1"/>
      <c r="B384" s="22">
        <v>383</v>
      </c>
      <c r="C384" s="22" t="s">
        <v>1631</v>
      </c>
      <c r="D384" s="22" t="s">
        <v>13</v>
      </c>
      <c r="E384" s="22" t="s">
        <v>1235</v>
      </c>
      <c r="F384" s="22" t="str">
        <f ca="1">IFERROR(__xludf.DUMMYFUNCTION("GOOGLETRANSLATE(E384,""ar"",""en"")"),"Food benefits")</f>
        <v>Food benefits</v>
      </c>
      <c r="G384" s="22" t="s">
        <v>3584</v>
      </c>
      <c r="H384" s="24" t="s">
        <v>3592</v>
      </c>
      <c r="I384" s="23" t="s">
        <v>3651</v>
      </c>
      <c r="J384" s="5" t="str">
        <f ca="1">IFERROR(__xludf.DUMMYFUNCTION("GOOGLETRANSLATE(G384,""ar"",""en"")"),"peace")</f>
        <v>peace</v>
      </c>
      <c r="K384" s="5"/>
      <c r="L384" s="5"/>
      <c r="M384" s="5" t="str">
        <f ca="1">IFERROR(__xludf.DUMMYFUNCTION("GOOGLETRANSLATE(J384,""ar"",""en"")"),"#VALUE!")</f>
        <v>#VALUE!</v>
      </c>
      <c r="N384" s="6" t="s">
        <v>1632</v>
      </c>
      <c r="O384" s="10" t="s">
        <v>1633</v>
      </c>
    </row>
    <row r="385" spans="1:15" ht="20.100000000000001" customHeight="1" thickTop="1" thickBot="1">
      <c r="A385" s="1"/>
      <c r="B385" s="22">
        <v>384</v>
      </c>
      <c r="C385" s="22" t="s">
        <v>1634</v>
      </c>
      <c r="D385" s="22" t="s">
        <v>13</v>
      </c>
      <c r="E385" s="23" t="s">
        <v>1635</v>
      </c>
      <c r="F385" s="22" t="str">
        <f ca="1">IFERROR(__xludf.DUMMYFUNCTION("GOOGLETRANSLATE(E385,""ar"",""en"")"),"Granada Goods Supplies")</f>
        <v>Granada Goods Supplies</v>
      </c>
      <c r="G385" s="22" t="s">
        <v>3584</v>
      </c>
      <c r="H385" s="24" t="s">
        <v>3592</v>
      </c>
      <c r="I385" s="23" t="s">
        <v>3651</v>
      </c>
      <c r="J385" s="5" t="str">
        <f ca="1">IFERROR(__xludf.DUMMYFUNCTION("GOOGLETRANSLATE(G385,""ar"",""en"")"),"peace")</f>
        <v>peace</v>
      </c>
      <c r="K385" s="11">
        <v>570276181</v>
      </c>
      <c r="L385" s="11"/>
      <c r="M385" s="5" t="str">
        <f ca="1">IFERROR(__xludf.DUMMYFUNCTION("GOOGLETRANSLATE(J385,""ar"",""en"")"),"#VALUE!")</f>
        <v>#VALUE!</v>
      </c>
      <c r="N385" s="12" t="s">
        <v>1636</v>
      </c>
      <c r="O385" s="10" t="s">
        <v>1637</v>
      </c>
    </row>
    <row r="386" spans="1:15" ht="20.100000000000001" customHeight="1" thickTop="1" thickBot="1">
      <c r="A386" s="1"/>
      <c r="B386" s="22">
        <v>385</v>
      </c>
      <c r="C386" s="22" t="s">
        <v>1638</v>
      </c>
      <c r="D386" s="22" t="s">
        <v>13</v>
      </c>
      <c r="E386" s="22" t="s">
        <v>1639</v>
      </c>
      <c r="F386" s="22" t="str">
        <f ca="1">IFERROR(__xludf.DUMMYFUNCTION("GOOGLETRANSLATE(E386,""ar"",""en"")"),"Gulf Bridges Foundation")</f>
        <v>Gulf Bridges Foundation</v>
      </c>
      <c r="G386" s="22" t="s">
        <v>3584</v>
      </c>
      <c r="H386" s="24" t="s">
        <v>3592</v>
      </c>
      <c r="I386" s="23" t="s">
        <v>3651</v>
      </c>
      <c r="J386" s="5" t="str">
        <f ca="1">IFERROR(__xludf.DUMMYFUNCTION("GOOGLETRANSLATE(G386,""ar"",""en"")"),"peace")</f>
        <v>peace</v>
      </c>
      <c r="K386" s="5">
        <v>542096055</v>
      </c>
      <c r="L386" s="5"/>
      <c r="M386" s="5" t="str">
        <f ca="1">IFERROR(__xludf.DUMMYFUNCTION("GOOGLETRANSLATE(J386,""ar"",""en"")"),"#VALUE!")</f>
        <v>#VALUE!</v>
      </c>
      <c r="N386" s="6" t="s">
        <v>1640</v>
      </c>
      <c r="O386" s="10" t="s">
        <v>1641</v>
      </c>
    </row>
    <row r="387" spans="1:15" ht="20.100000000000001" customHeight="1" thickTop="1" thickBot="1">
      <c r="A387" s="1"/>
      <c r="B387" s="22">
        <v>386</v>
      </c>
      <c r="C387" s="22" t="s">
        <v>1642</v>
      </c>
      <c r="D387" s="22" t="s">
        <v>13</v>
      </c>
      <c r="E387" s="23" t="s">
        <v>1643</v>
      </c>
      <c r="F387" s="22" t="str">
        <f ca="1">IFERROR(__xludf.DUMMYFUNCTION("GOOGLETRANSLATE(E387,""ar"",""en"")"),"Dana Cart Supplies")</f>
        <v>Dana Cart Supplies</v>
      </c>
      <c r="G387" s="22" t="s">
        <v>3584</v>
      </c>
      <c r="H387" s="24" t="s">
        <v>3592</v>
      </c>
      <c r="I387" s="23" t="s">
        <v>3600</v>
      </c>
      <c r="J387" s="5" t="str">
        <f ca="1">IFERROR(__xludf.DUMMYFUNCTION("GOOGLETRANSLATE(G387,""ar"",""en"")"),"paradise")</f>
        <v>paradise</v>
      </c>
      <c r="K387" s="11">
        <v>547951655</v>
      </c>
      <c r="L387" s="11"/>
      <c r="M387" s="5" t="str">
        <f ca="1">IFERROR(__xludf.DUMMYFUNCTION("GOOGLETRANSLATE(J387,""ar"",""en"")"),"#VALUE!")</f>
        <v>#VALUE!</v>
      </c>
      <c r="N387" s="12" t="s">
        <v>1644</v>
      </c>
      <c r="O387" s="10" t="s">
        <v>1645</v>
      </c>
    </row>
    <row r="388" spans="1:15" ht="20.100000000000001" customHeight="1" thickTop="1" thickBot="1">
      <c r="A388" s="1"/>
      <c r="B388" s="22">
        <v>387</v>
      </c>
      <c r="C388" s="22" t="s">
        <v>1646</v>
      </c>
      <c r="D388" s="22" t="s">
        <v>13</v>
      </c>
      <c r="E388" s="22" t="s">
        <v>1647</v>
      </c>
      <c r="F388" s="22" t="str">
        <f ca="1">IFERROR(__xludf.DUMMYFUNCTION("GOOGLETRANSLATE(E388,""ar"",""en"")"),"Green Meadows Supplies")</f>
        <v>Green Meadows Supplies</v>
      </c>
      <c r="G388" s="22" t="s">
        <v>3584</v>
      </c>
      <c r="H388" s="24" t="s">
        <v>3592</v>
      </c>
      <c r="I388" s="23" t="s">
        <v>3600</v>
      </c>
      <c r="J388" s="5" t="str">
        <f ca="1">IFERROR(__xludf.DUMMYFUNCTION("GOOGLETRANSLATE(G388,""ar"",""en"")"),"paradise")</f>
        <v>paradise</v>
      </c>
      <c r="K388" s="5">
        <v>506699340</v>
      </c>
      <c r="L388" s="5" t="s">
        <v>361</v>
      </c>
      <c r="M388" s="5" t="str">
        <f ca="1">IFERROR(__xludf.DUMMYFUNCTION("GOOGLETRANSLATE(J388,""ar"",""en"")"),"Ahmed")</f>
        <v>Ahmed</v>
      </c>
      <c r="N388" s="6" t="s">
        <v>1648</v>
      </c>
      <c r="O388" s="10" t="s">
        <v>1649</v>
      </c>
    </row>
    <row r="389" spans="1:15" ht="20.100000000000001" customHeight="1" thickTop="1" thickBot="1">
      <c r="A389" s="1"/>
      <c r="B389" s="22">
        <v>388</v>
      </c>
      <c r="C389" s="22" t="s">
        <v>1650</v>
      </c>
      <c r="D389" s="22" t="s">
        <v>13</v>
      </c>
      <c r="E389" s="23" t="s">
        <v>1651</v>
      </c>
      <c r="F389" s="22" t="str">
        <f ca="1">IFERROR(__xludf.DUMMYFUNCTION("GOOGLETRANSLATE(E389,""ar"",""en"")"),"Daily supplies")</f>
        <v>Daily supplies</v>
      </c>
      <c r="G389" s="22" t="s">
        <v>3584</v>
      </c>
      <c r="H389" s="24" t="s">
        <v>3592</v>
      </c>
      <c r="I389" s="23" t="s">
        <v>3600</v>
      </c>
      <c r="J389" s="5" t="str">
        <f ca="1">IFERROR(__xludf.DUMMYFUNCTION("GOOGLETRANSLATE(G389,""ar"",""en"")"),"paradise")</f>
        <v>paradise</v>
      </c>
      <c r="K389" s="11">
        <v>556546638</v>
      </c>
      <c r="L389" s="11"/>
      <c r="M389" s="5" t="str">
        <f ca="1">IFERROR(__xludf.DUMMYFUNCTION("GOOGLETRANSLATE(J389,""ar"",""en"")"),"#VALUE!")</f>
        <v>#VALUE!</v>
      </c>
      <c r="N389" s="12" t="s">
        <v>1652</v>
      </c>
      <c r="O389" s="10" t="s">
        <v>1653</v>
      </c>
    </row>
    <row r="390" spans="1:15" ht="20.100000000000001" customHeight="1" thickTop="1" thickBot="1">
      <c r="A390" s="1"/>
      <c r="B390" s="22">
        <v>389</v>
      </c>
      <c r="C390" s="22" t="s">
        <v>1654</v>
      </c>
      <c r="D390" s="22" t="s">
        <v>13</v>
      </c>
      <c r="E390" s="22" t="s">
        <v>1216</v>
      </c>
      <c r="F390" s="22" t="str">
        <f ca="1">IFERROR(__xludf.DUMMYFUNCTION("GOOGLETRANSLATE(E390,""ar"",""en"")"),"Al Muntazah Markets")</f>
        <v>Al Muntazah Markets</v>
      </c>
      <c r="G390" s="22" t="s">
        <v>3584</v>
      </c>
      <c r="H390" s="24" t="s">
        <v>3592</v>
      </c>
      <c r="I390" s="22" t="s">
        <v>3652</v>
      </c>
      <c r="J390" s="5" t="str">
        <f ca="1">IFERROR(__xludf.DUMMYFUNCTION("GOOGLETRANSLATE(G390,""ar"",""en"")"),"Granada")</f>
        <v>Granada</v>
      </c>
      <c r="K390" s="5"/>
      <c r="L390" s="5"/>
      <c r="M390" s="5" t="str">
        <f ca="1">IFERROR(__xludf.DUMMYFUNCTION("GOOGLETRANSLATE(J390,""ar"",""en"")"),"#VALUE!")</f>
        <v>#VALUE!</v>
      </c>
      <c r="N390" s="6" t="s">
        <v>1655</v>
      </c>
      <c r="O390" s="10" t="s">
        <v>1656</v>
      </c>
    </row>
    <row r="391" spans="1:15" ht="20.100000000000001" customHeight="1" thickTop="1" thickBot="1">
      <c r="A391" s="1"/>
      <c r="B391" s="22">
        <v>390</v>
      </c>
      <c r="C391" s="22" t="s">
        <v>1657</v>
      </c>
      <c r="D391" s="22" t="s">
        <v>13</v>
      </c>
      <c r="E391" s="23" t="s">
        <v>1610</v>
      </c>
      <c r="F391" s="22" t="str">
        <f ca="1">IFERROR(__xludf.DUMMYFUNCTION("GOOGLETRANSLATE(E391,""ar"",""en"")"),"Park Express")</f>
        <v>Park Express</v>
      </c>
      <c r="G391" s="22" t="s">
        <v>3584</v>
      </c>
      <c r="H391" s="24" t="s">
        <v>3592</v>
      </c>
      <c r="I391" s="22" t="s">
        <v>3652</v>
      </c>
      <c r="J391" s="5" t="str">
        <f ca="1">IFERROR(__xludf.DUMMYFUNCTION("GOOGLETRANSLATE(G391,""ar"",""en"")"),"Granada")</f>
        <v>Granada</v>
      </c>
      <c r="K391" s="11"/>
      <c r="L391" s="11"/>
      <c r="M391" s="5" t="str">
        <f ca="1">IFERROR(__xludf.DUMMYFUNCTION("GOOGLETRANSLATE(J391,""ar"",""en"")"),"#VALUE!")</f>
        <v>#VALUE!</v>
      </c>
      <c r="N391" s="12" t="s">
        <v>1658</v>
      </c>
      <c r="O391" s="10" t="s">
        <v>1659</v>
      </c>
    </row>
    <row r="392" spans="1:15" ht="20.100000000000001" customHeight="1" thickTop="1" thickBot="1">
      <c r="A392" s="1"/>
      <c r="B392" s="22">
        <v>391</v>
      </c>
      <c r="C392" s="22" t="s">
        <v>1660</v>
      </c>
      <c r="D392" s="22" t="s">
        <v>13</v>
      </c>
      <c r="E392" s="22" t="s">
        <v>1216</v>
      </c>
      <c r="F392" s="22" t="str">
        <f ca="1">IFERROR(__xludf.DUMMYFUNCTION("GOOGLETRANSLATE(E392,""ar"",""en"")"),"Al Muntazah Markets")</f>
        <v>Al Muntazah Markets</v>
      </c>
      <c r="G392" s="22" t="s">
        <v>3584</v>
      </c>
      <c r="H392" s="24" t="s">
        <v>3592</v>
      </c>
      <c r="I392" s="22" t="s">
        <v>3652</v>
      </c>
      <c r="J392" s="5" t="str">
        <f ca="1">IFERROR(__xludf.DUMMYFUNCTION("GOOGLETRANSLATE(G392,""ar"",""en"")"),"Granada")</f>
        <v>Granada</v>
      </c>
      <c r="K392" s="5"/>
      <c r="L392" s="5"/>
      <c r="M392" s="5" t="str">
        <f ca="1">IFERROR(__xludf.DUMMYFUNCTION("GOOGLETRANSLATE(J392,""ar"",""en"")"),"#VALUE!")</f>
        <v>#VALUE!</v>
      </c>
      <c r="N392" s="6" t="s">
        <v>1661</v>
      </c>
      <c r="O392" s="10" t="s">
        <v>1662</v>
      </c>
    </row>
    <row r="393" spans="1:15" ht="20.100000000000001" customHeight="1" thickTop="1" thickBot="1">
      <c r="A393" s="1"/>
      <c r="B393" s="22">
        <v>392</v>
      </c>
      <c r="C393" s="22" t="s">
        <v>1663</v>
      </c>
      <c r="D393" s="22" t="s">
        <v>13</v>
      </c>
      <c r="E393" s="23" t="s">
        <v>1664</v>
      </c>
      <c r="F393" s="22" t="str">
        <f ca="1">IFERROR(__xludf.DUMMYFUNCTION("GOOGLETRANSLATE(E393,""ar"",""en"")"),"Rahaf's Cart Supermarket")</f>
        <v>Rahaf's Cart Supermarket</v>
      </c>
      <c r="G393" s="22" t="s">
        <v>3584</v>
      </c>
      <c r="H393" s="24" t="s">
        <v>3592</v>
      </c>
      <c r="I393" s="22" t="s">
        <v>3652</v>
      </c>
      <c r="J393" s="5" t="str">
        <f ca="1">IFERROR(__xludf.DUMMYFUNCTION("GOOGLETRANSLATE(G393,""ar"",""en"")"),"Granada")</f>
        <v>Granada</v>
      </c>
      <c r="K393" s="11">
        <v>548088676</v>
      </c>
      <c r="L393" s="11" t="s">
        <v>1665</v>
      </c>
      <c r="M393" s="5" t="str">
        <f ca="1">IFERROR(__xludf.DUMMYFUNCTION("GOOGLETRANSLATE(J393,""ar"",""en"")"),"Yahya")</f>
        <v>Yahya</v>
      </c>
      <c r="N393" s="12" t="s">
        <v>1666</v>
      </c>
      <c r="O393" s="10" t="s">
        <v>1667</v>
      </c>
    </row>
    <row r="394" spans="1:15" ht="20.100000000000001" customHeight="1" thickTop="1" thickBot="1">
      <c r="A394" s="1"/>
      <c r="B394" s="22">
        <v>393</v>
      </c>
      <c r="C394" s="22" t="s">
        <v>1668</v>
      </c>
      <c r="D394" s="22" t="s">
        <v>13</v>
      </c>
      <c r="E394" s="22" t="s">
        <v>3664</v>
      </c>
      <c r="F394" s="22" t="str">
        <f ca="1">IFERROR(__xludf.DUMMYFUNCTION("GOOGLETRANSLATE(E394,""ar"",""en"")"),"#VALUE!")</f>
        <v>#VALUE!</v>
      </c>
      <c r="G394" s="22" t="s">
        <v>3584</v>
      </c>
      <c r="H394" s="24" t="s">
        <v>3592</v>
      </c>
      <c r="I394" s="22" t="s">
        <v>3652</v>
      </c>
      <c r="J394" s="5" t="str">
        <f ca="1">IFERROR(__xludf.DUMMYFUNCTION("GOOGLETRANSLATE(G394,""ar"",""en"")"),"#VALUE!")</f>
        <v>#VALUE!</v>
      </c>
      <c r="K394" s="5"/>
      <c r="L394" s="5"/>
      <c r="M394" s="5" t="str">
        <f ca="1">IFERROR(__xludf.DUMMYFUNCTION("GOOGLETRANSLATE(J394,""ar"",""en"")"),"#VALUE!")</f>
        <v>#VALUE!</v>
      </c>
      <c r="N394" s="6" t="s">
        <v>1669</v>
      </c>
      <c r="O394" s="10" t="s">
        <v>1670</v>
      </c>
    </row>
    <row r="395" spans="1:15" ht="20.100000000000001" customHeight="1" thickTop="1" thickBot="1">
      <c r="A395" s="1"/>
      <c r="B395" s="22">
        <v>394</v>
      </c>
      <c r="C395" s="22" t="s">
        <v>1671</v>
      </c>
      <c r="D395" s="22" t="s">
        <v>13</v>
      </c>
      <c r="E395" s="23" t="s">
        <v>1003</v>
      </c>
      <c r="F395" s="22" t="str">
        <f ca="1">IFERROR(__xludf.DUMMYFUNCTION("GOOGLETRANSLATE(E395,""ar"",""en"")"),"Nahla Markets")</f>
        <v>Nahla Markets</v>
      </c>
      <c r="G395" s="22" t="s">
        <v>3584</v>
      </c>
      <c r="H395" s="24" t="s">
        <v>3592</v>
      </c>
      <c r="I395" s="22" t="s">
        <v>3652</v>
      </c>
      <c r="J395" s="5" t="str">
        <f ca="1">IFERROR(__xludf.DUMMYFUNCTION("GOOGLETRANSLATE(G395,""ar"",""en"")"),"Granada")</f>
        <v>Granada</v>
      </c>
      <c r="K395" s="11">
        <v>547523999</v>
      </c>
      <c r="L395" s="11" t="s">
        <v>1672</v>
      </c>
      <c r="M395" s="5" t="str">
        <f ca="1">IFERROR(__xludf.DUMMYFUNCTION("GOOGLETRANSLATE(J395,""ar"",""en"")"),"windy")</f>
        <v>windy</v>
      </c>
      <c r="N395" s="12" t="s">
        <v>1673</v>
      </c>
      <c r="O395" s="10" t="s">
        <v>1674</v>
      </c>
    </row>
    <row r="396" spans="1:15" ht="20.100000000000001" customHeight="1" thickTop="1" thickBot="1">
      <c r="A396" s="1"/>
      <c r="B396" s="22">
        <v>395</v>
      </c>
      <c r="C396" s="22" t="s">
        <v>1675</v>
      </c>
      <c r="D396" s="22" t="s">
        <v>13</v>
      </c>
      <c r="E396" s="22" t="s">
        <v>3665</v>
      </c>
      <c r="F396" s="22" t="str">
        <f ca="1">IFERROR(__xludf.DUMMYFUNCTION("GOOGLETRANSLATE(E396,""ar"",""en"")"),"But if the second product is released, come")</f>
        <v>But if the second product is released, come</v>
      </c>
      <c r="G396" s="22" t="s">
        <v>3584</v>
      </c>
      <c r="H396" s="24" t="s">
        <v>3592</v>
      </c>
      <c r="I396" s="22" t="s">
        <v>3652</v>
      </c>
      <c r="J396" s="5" t="str">
        <f ca="1">IFERROR(__xludf.DUMMYFUNCTION("GOOGLETRANSLATE(G396,""ar"",""en"")"),"#VALUE!")</f>
        <v>#VALUE!</v>
      </c>
      <c r="K396" s="5"/>
      <c r="L396" s="5"/>
      <c r="M396" s="5" t="str">
        <f ca="1">IFERROR(__xludf.DUMMYFUNCTION("GOOGLETRANSLATE(J396,""ar"",""en"")"),"#VALUE!")</f>
        <v>#VALUE!</v>
      </c>
      <c r="N396" s="6" t="s">
        <v>1676</v>
      </c>
      <c r="O396" s="10" t="s">
        <v>1677</v>
      </c>
    </row>
    <row r="397" spans="1:15" ht="20.100000000000001" customHeight="1" thickTop="1" thickBot="1">
      <c r="A397" s="1"/>
      <c r="B397" s="22">
        <v>396</v>
      </c>
      <c r="C397" s="22" t="s">
        <v>1678</v>
      </c>
      <c r="D397" s="22" t="s">
        <v>13</v>
      </c>
      <c r="E397" s="23" t="s">
        <v>1679</v>
      </c>
      <c r="F397" s="22" t="str">
        <f ca="1">IFERROR(__xludf.DUMMYFUNCTION("GOOGLETRANSLATE(E397,""ar"",""en"")"),"Durrat Al-Muhammadiyah Grocery")</f>
        <v>Durrat Al-Muhammadiyah Grocery</v>
      </c>
      <c r="G397" s="22" t="s">
        <v>3584</v>
      </c>
      <c r="H397" s="24" t="s">
        <v>3592</v>
      </c>
      <c r="I397" s="23" t="s">
        <v>3653</v>
      </c>
      <c r="J397" s="5" t="str">
        <f ca="1">IFERROR(__xludf.DUMMYFUNCTION("GOOGLETRANSLATE(G397,""ar"",""en"")"),"Muhammadiyah")</f>
        <v>Muhammadiyah</v>
      </c>
      <c r="K397" s="11"/>
      <c r="L397" s="11"/>
      <c r="M397" s="5" t="str">
        <f ca="1">IFERROR(__xludf.DUMMYFUNCTION("GOOGLETRANSLATE(J397,""ar"",""en"")"),"#VALUE!")</f>
        <v>#VALUE!</v>
      </c>
      <c r="N397" s="12" t="s">
        <v>1680</v>
      </c>
      <c r="O397" s="10" t="s">
        <v>1681</v>
      </c>
    </row>
    <row r="398" spans="1:15" ht="20.100000000000001" customHeight="1" thickTop="1" thickBot="1">
      <c r="A398" s="1"/>
      <c r="B398" s="22">
        <v>397</v>
      </c>
      <c r="C398" s="22" t="s">
        <v>1682</v>
      </c>
      <c r="D398" s="22" t="s">
        <v>13</v>
      </c>
      <c r="E398" s="22" t="s">
        <v>1683</v>
      </c>
      <c r="F398" s="22" t="str">
        <f ca="1">IFERROR(__xludf.DUMMYFUNCTION("GOOGLETRANSLATE(E398,""ar"",""en"")"),"Al-Ahsa Food Center")</f>
        <v>Al-Ahsa Food Center</v>
      </c>
      <c r="G398" s="22" t="s">
        <v>3584</v>
      </c>
      <c r="H398" s="24" t="s">
        <v>3592</v>
      </c>
      <c r="I398" s="23" t="s">
        <v>3653</v>
      </c>
      <c r="J398" s="5" t="str">
        <f ca="1">IFERROR(__xludf.DUMMYFUNCTION("GOOGLETRANSLATE(G398,""ar"",""en"")"),"Muhammadiyah")</f>
        <v>Muhammadiyah</v>
      </c>
      <c r="K398" s="5">
        <v>541247772</v>
      </c>
      <c r="L398" s="5" t="s">
        <v>1262</v>
      </c>
      <c r="M398" s="5" t="str">
        <f ca="1">IFERROR(__xludf.DUMMYFUNCTION("GOOGLETRANSLATE(J398,""ar"",""en"")"),"Abu Haidar")</f>
        <v>Abu Haidar</v>
      </c>
      <c r="N398" s="6" t="s">
        <v>1684</v>
      </c>
      <c r="O398" s="10" t="s">
        <v>1685</v>
      </c>
    </row>
    <row r="399" spans="1:15" ht="20.100000000000001" customHeight="1" thickTop="1" thickBot="1">
      <c r="A399" s="1"/>
      <c r="B399" s="22">
        <v>398</v>
      </c>
      <c r="C399" s="22" t="s">
        <v>1686</v>
      </c>
      <c r="D399" s="22" t="s">
        <v>13</v>
      </c>
      <c r="E399" s="23" t="s">
        <v>1687</v>
      </c>
      <c r="F399" s="22" t="str">
        <f ca="1">IFERROR(__xludf.DUMMYFUNCTION("GOOGLETRANSLATE(E399,""ar"",""en"")"),"Valley View Markets")</f>
        <v>Valley View Markets</v>
      </c>
      <c r="G399" s="22" t="s">
        <v>3584</v>
      </c>
      <c r="H399" s="24" t="s">
        <v>3592</v>
      </c>
      <c r="I399" s="23" t="s">
        <v>3653</v>
      </c>
      <c r="J399" s="5" t="str">
        <f ca="1">IFERROR(__xludf.DUMMYFUNCTION("GOOGLETRANSLATE(G399,""ar"",""en"")"),"Muhammadiyah")</f>
        <v>Muhammadiyah</v>
      </c>
      <c r="K399" s="11"/>
      <c r="L399" s="11"/>
      <c r="M399" s="5" t="str">
        <f ca="1">IFERROR(__xludf.DUMMYFUNCTION("GOOGLETRANSLATE(J399,""ar"",""en"")"),"#VALUE!")</f>
        <v>#VALUE!</v>
      </c>
      <c r="N399" s="12" t="s">
        <v>1688</v>
      </c>
      <c r="O399" s="10" t="s">
        <v>1689</v>
      </c>
    </row>
    <row r="400" spans="1:15" ht="20.100000000000001" customHeight="1" thickTop="1" thickBot="1">
      <c r="A400" s="1"/>
      <c r="B400" s="22">
        <v>399</v>
      </c>
      <c r="C400" s="22" t="s">
        <v>1690</v>
      </c>
      <c r="D400" s="22" t="s">
        <v>13</v>
      </c>
      <c r="E400" s="22" t="s">
        <v>667</v>
      </c>
      <c r="F400" s="22" t="str">
        <f ca="1">IFERROR(__xludf.DUMMYFUNCTION("GOOGLETRANSLATE(E400,""ar"",""en"")"),"Rima Market")</f>
        <v>Rima Market</v>
      </c>
      <c r="G400" s="22" t="s">
        <v>3584</v>
      </c>
      <c r="H400" s="24" t="s">
        <v>3592</v>
      </c>
      <c r="I400" s="23" t="s">
        <v>3653</v>
      </c>
      <c r="J400" s="5" t="str">
        <f ca="1">IFERROR(__xludf.DUMMYFUNCTION("GOOGLETRANSLATE(G400,""ar"",""en"")"),"Muhammadiyah")</f>
        <v>Muhammadiyah</v>
      </c>
      <c r="K400" s="5"/>
      <c r="L400" s="5"/>
      <c r="M400" s="5" t="str">
        <f ca="1">IFERROR(__xludf.DUMMYFUNCTION("GOOGLETRANSLATE(J400,""ar"",""en"")"),"#VALUE!")</f>
        <v>#VALUE!</v>
      </c>
      <c r="N400" s="6" t="s">
        <v>1691</v>
      </c>
      <c r="O400" s="10" t="s">
        <v>1692</v>
      </c>
    </row>
    <row r="401" spans="1:15" ht="20.100000000000001" customHeight="1" thickTop="1" thickBot="1">
      <c r="A401" s="1"/>
      <c r="B401" s="22">
        <v>400</v>
      </c>
      <c r="C401" s="22" t="s">
        <v>1693</v>
      </c>
      <c r="D401" s="22" t="s">
        <v>13</v>
      </c>
      <c r="E401" s="23" t="s">
        <v>1694</v>
      </c>
      <c r="F401" s="22" t="str">
        <f ca="1">IFERROR(__xludf.DUMMYFUNCTION("GOOGLETRANSLATE(E401,""ar"",""en"")"),"Belt of Goodness Supplies")</f>
        <v>Belt of Goodness Supplies</v>
      </c>
      <c r="G401" s="22" t="s">
        <v>3584</v>
      </c>
      <c r="H401" s="24" t="s">
        <v>3592</v>
      </c>
      <c r="I401" s="23" t="s">
        <v>3653</v>
      </c>
      <c r="J401" s="5" t="str">
        <f ca="1">IFERROR(__xludf.DUMMYFUNCTION("GOOGLETRANSLATE(G401,""ar"",""en"")"),"Muhammadiyah")</f>
        <v>Muhammadiyah</v>
      </c>
      <c r="K401" s="11">
        <v>581129285</v>
      </c>
      <c r="L401" s="11" t="s">
        <v>1695</v>
      </c>
      <c r="M401" s="5" t="str">
        <f ca="1">IFERROR(__xludf.DUMMYFUNCTION("GOOGLETRANSLATE(J401,""ar"",""en"")"),"Hatem Abu Amjad")</f>
        <v>Hatem Abu Amjad</v>
      </c>
      <c r="N401" s="12" t="s">
        <v>1696</v>
      </c>
      <c r="O401" s="10" t="s">
        <v>1697</v>
      </c>
    </row>
    <row r="402" spans="1:15" ht="20.100000000000001" customHeight="1" thickTop="1" thickBot="1">
      <c r="A402" s="1"/>
      <c r="B402" s="22">
        <v>401</v>
      </c>
      <c r="C402" s="22" t="s">
        <v>1698</v>
      </c>
      <c r="D402" s="22" t="s">
        <v>13</v>
      </c>
      <c r="E402" s="22" t="s">
        <v>1699</v>
      </c>
      <c r="F402" s="22" t="str">
        <f ca="1">IFERROR(__xludf.DUMMYFUNCTION("GOOGLETRANSLATE(E402,""ar"",""en"")"),"Al-Zahraa Basket Markets")</f>
        <v>Al-Zahraa Basket Markets</v>
      </c>
      <c r="G402" s="22" t="s">
        <v>3584</v>
      </c>
      <c r="H402" s="24" t="s">
        <v>3592</v>
      </c>
      <c r="I402" s="23" t="s">
        <v>3653</v>
      </c>
      <c r="J402" s="5" t="str">
        <f ca="1">IFERROR(__xludf.DUMMYFUNCTION("GOOGLETRANSLATE(G402,""ar"",""en"")"),"Muhammadiyah")</f>
        <v>Muhammadiyah</v>
      </c>
      <c r="K402" s="5">
        <v>546940666</v>
      </c>
      <c r="L402" s="5" t="s">
        <v>1700</v>
      </c>
      <c r="M402" s="5" t="str">
        <f ca="1">IFERROR(__xludf.DUMMYFUNCTION("GOOGLETRANSLATE(J402,""ar"",""en"")"),"Abu Azzam")</f>
        <v>Abu Azzam</v>
      </c>
      <c r="N402" s="6" t="s">
        <v>1701</v>
      </c>
      <c r="O402" s="10" t="s">
        <v>1702</v>
      </c>
    </row>
    <row r="403" spans="1:15" ht="20.100000000000001" customHeight="1" thickTop="1" thickBot="1">
      <c r="A403" s="1"/>
      <c r="B403" s="22">
        <v>402</v>
      </c>
      <c r="C403" s="22" t="s">
        <v>1703</v>
      </c>
      <c r="D403" s="22" t="s">
        <v>13</v>
      </c>
      <c r="E403" s="23" t="s">
        <v>1704</v>
      </c>
      <c r="F403" s="22" t="str">
        <f ca="1">IFERROR(__xludf.DUMMYFUNCTION("GOOGLETRANSLATE(E403,""ar"",""en"")"),"Family Facilitation Supplies")</f>
        <v>Family Facilitation Supplies</v>
      </c>
      <c r="G403" s="22" t="s">
        <v>3584</v>
      </c>
      <c r="H403" s="24" t="s">
        <v>3592</v>
      </c>
      <c r="I403" s="23" t="s">
        <v>3654</v>
      </c>
      <c r="J403" s="5" t="str">
        <f ca="1">IFERROR(__xludf.DUMMYFUNCTION("GOOGLETRANSLATE(G403,""ar"",""en"")"),"Al-Qadisiyah")</f>
        <v>Al-Qadisiyah</v>
      </c>
      <c r="K403" s="11">
        <v>552074029</v>
      </c>
      <c r="L403" s="11"/>
      <c r="M403" s="5" t="str">
        <f ca="1">IFERROR(__xludf.DUMMYFUNCTION("GOOGLETRANSLATE(J403,""ar"",""en"")"),"#VALUE!")</f>
        <v>#VALUE!</v>
      </c>
      <c r="N403" s="12" t="s">
        <v>1705</v>
      </c>
      <c r="O403" s="10" t="s">
        <v>1706</v>
      </c>
    </row>
    <row r="404" spans="1:15" ht="20.100000000000001" customHeight="1" thickTop="1" thickBot="1">
      <c r="A404" s="1"/>
      <c r="B404" s="22">
        <v>403</v>
      </c>
      <c r="C404" s="22" t="s">
        <v>1707</v>
      </c>
      <c r="D404" s="22" t="s">
        <v>13</v>
      </c>
      <c r="E404" s="22" t="s">
        <v>1708</v>
      </c>
      <c r="F404" s="22" t="str">
        <f ca="1">IFERROR(__xludf.DUMMYFUNCTION("GOOGLETRANSLATE(E404,""ar"",""en"")"),"Zainab Saud Bin Hussein Tahifa Supplies")</f>
        <v>Zainab Saud Bin Hussein Tahifa Supplies</v>
      </c>
      <c r="G404" s="22" t="s">
        <v>3584</v>
      </c>
      <c r="H404" s="24" t="s">
        <v>3592</v>
      </c>
      <c r="I404" s="22" t="s">
        <v>3654</v>
      </c>
      <c r="J404" s="5" t="str">
        <f ca="1">IFERROR(__xludf.DUMMYFUNCTION("GOOGLETRANSLATE(G404,""ar"",""en"")"),"Al-Qadisiyah")</f>
        <v>Al-Qadisiyah</v>
      </c>
      <c r="K404" s="5"/>
      <c r="L404" s="5"/>
      <c r="M404" s="5" t="str">
        <f ca="1">IFERROR(__xludf.DUMMYFUNCTION("GOOGLETRANSLATE(J404,""ar"",""en"")"),"#VALUE!")</f>
        <v>#VALUE!</v>
      </c>
      <c r="N404" s="6" t="s">
        <v>1709</v>
      </c>
      <c r="O404" s="10" t="s">
        <v>1710</v>
      </c>
    </row>
    <row r="405" spans="1:15" ht="20.100000000000001" customHeight="1" thickTop="1" thickBot="1">
      <c r="A405" s="1"/>
      <c r="B405" s="22">
        <v>404</v>
      </c>
      <c r="C405" s="22" t="s">
        <v>1711</v>
      </c>
      <c r="D405" s="22" t="s">
        <v>13</v>
      </c>
      <c r="E405" s="23" t="s">
        <v>1712</v>
      </c>
      <c r="F405" s="22" t="str">
        <f ca="1">IFERROR(__xludf.DUMMYFUNCTION("GOOGLETRANSLATE(E405,""ar"",""en"")"),"Granada Shed Grocery")</f>
        <v>Granada Shed Grocery</v>
      </c>
      <c r="G405" s="22" t="s">
        <v>3584</v>
      </c>
      <c r="H405" s="24" t="s">
        <v>3592</v>
      </c>
      <c r="I405" s="22" t="s">
        <v>3652</v>
      </c>
      <c r="J405" s="5" t="str">
        <f ca="1">IFERROR(__xludf.DUMMYFUNCTION("GOOGLETRANSLATE(G405,""ar"",""en"")"),"Granada")</f>
        <v>Granada</v>
      </c>
      <c r="K405" s="11">
        <v>549854694</v>
      </c>
      <c r="L405" s="11"/>
      <c r="M405" s="5" t="str">
        <f ca="1">IFERROR(__xludf.DUMMYFUNCTION("GOOGLETRANSLATE(J405,""ar"",""en"")"),"#VALUE!")</f>
        <v>#VALUE!</v>
      </c>
      <c r="N405" s="12" t="s">
        <v>1713</v>
      </c>
      <c r="O405" s="10" t="s">
        <v>1714</v>
      </c>
    </row>
    <row r="406" spans="1:15" ht="20.100000000000001" customHeight="1" thickTop="1" thickBot="1">
      <c r="A406" s="1"/>
      <c r="B406" s="22">
        <v>405</v>
      </c>
      <c r="C406" s="22" t="s">
        <v>1715</v>
      </c>
      <c r="D406" s="22" t="s">
        <v>13</v>
      </c>
      <c r="E406" s="22" t="s">
        <v>1716</v>
      </c>
      <c r="F406" s="22" t="str">
        <f ca="1">IFERROR(__xludf.DUMMYFUNCTION("GOOGLETRANSLATE(E406,""ar"",""en"")"),"Bab Tayba Foundation")</f>
        <v>Bab Tayba Foundation</v>
      </c>
      <c r="G406" s="22" t="s">
        <v>3584</v>
      </c>
      <c r="H406" s="24" t="s">
        <v>3592</v>
      </c>
      <c r="I406" s="22" t="s">
        <v>3652</v>
      </c>
      <c r="J406" s="5" t="str">
        <f ca="1">IFERROR(__xludf.DUMMYFUNCTION("GOOGLETRANSLATE(G406,""ar"",""en"")"),"Granada")</f>
        <v>Granada</v>
      </c>
      <c r="K406" s="5">
        <v>556572529</v>
      </c>
      <c r="L406" s="5"/>
      <c r="M406" s="5" t="str">
        <f ca="1">IFERROR(__xludf.DUMMYFUNCTION("GOOGLETRANSLATE(J406,""ar"",""en"")"),"#VALUE!")</f>
        <v>#VALUE!</v>
      </c>
      <c r="N406" s="6" t="s">
        <v>1717</v>
      </c>
      <c r="O406" s="10" t="s">
        <v>1718</v>
      </c>
    </row>
    <row r="407" spans="1:15" ht="20.100000000000001" customHeight="1" thickTop="1" thickBot="1">
      <c r="A407" s="1"/>
      <c r="B407" s="22">
        <v>406</v>
      </c>
      <c r="C407" s="22" t="s">
        <v>1719</v>
      </c>
      <c r="D407" s="22" t="s">
        <v>13</v>
      </c>
      <c r="E407" s="23" t="s">
        <v>1720</v>
      </c>
      <c r="F407" s="22" t="str">
        <f ca="1">IFERROR(__xludf.DUMMYFUNCTION("GOOGLETRANSLATE(E407,""ar"",""en"")"),"Salwa Shuaibi Ghawi Catering")</f>
        <v>Salwa Shuaibi Ghawi Catering</v>
      </c>
      <c r="G407" s="22" t="s">
        <v>3584</v>
      </c>
      <c r="H407" s="24" t="s">
        <v>3592</v>
      </c>
      <c r="I407" s="22" t="s">
        <v>3652</v>
      </c>
      <c r="J407" s="5" t="str">
        <f ca="1">IFERROR(__xludf.DUMMYFUNCTION("GOOGLETRANSLATE(G407,""ar"",""en"")"),"Granada")</f>
        <v>Granada</v>
      </c>
      <c r="K407" s="11">
        <v>533221865</v>
      </c>
      <c r="L407" s="11"/>
      <c r="M407" s="5" t="str">
        <f ca="1">IFERROR(__xludf.DUMMYFUNCTION("GOOGLETRANSLATE(J407,""ar"",""en"")"),"#VALUE!")</f>
        <v>#VALUE!</v>
      </c>
      <c r="N407" s="12" t="s">
        <v>1721</v>
      </c>
      <c r="O407" s="10" t="s">
        <v>1722</v>
      </c>
    </row>
    <row r="408" spans="1:15" ht="20.100000000000001" customHeight="1" thickTop="1" thickBot="1">
      <c r="A408" s="1"/>
      <c r="B408" s="22">
        <v>407</v>
      </c>
      <c r="C408" s="22" t="s">
        <v>1723</v>
      </c>
      <c r="D408" s="22" t="s">
        <v>13</v>
      </c>
      <c r="E408" s="22" t="s">
        <v>1724</v>
      </c>
      <c r="F408" s="22" t="str">
        <f ca="1">IFERROR(__xludf.DUMMYFUNCTION("GOOGLETRANSLATE(E408,""ar"",""en"")"),"Midan Al Khail Foundation")</f>
        <v>Midan Al Khail Foundation</v>
      </c>
      <c r="G408" s="22" t="s">
        <v>3584</v>
      </c>
      <c r="H408" s="24" t="s">
        <v>3592</v>
      </c>
      <c r="I408" s="22" t="s">
        <v>3652</v>
      </c>
      <c r="J408" s="5" t="str">
        <f ca="1">IFERROR(__xludf.DUMMYFUNCTION("GOOGLETRANSLATE(G408,""ar"",""en"")"),"Granada")</f>
        <v>Granada</v>
      </c>
      <c r="K408" s="5">
        <v>537877689</v>
      </c>
      <c r="L408" s="5"/>
      <c r="M408" s="5" t="str">
        <f ca="1">IFERROR(__xludf.DUMMYFUNCTION("GOOGLETRANSLATE(J408,""ar"",""en"")"),"#VALUE!")</f>
        <v>#VALUE!</v>
      </c>
      <c r="N408" s="6" t="s">
        <v>1725</v>
      </c>
      <c r="O408" s="10" t="s">
        <v>1726</v>
      </c>
    </row>
    <row r="409" spans="1:15" ht="20.100000000000001" customHeight="1" thickTop="1" thickBot="1">
      <c r="A409" s="1"/>
      <c r="B409" s="22">
        <v>408</v>
      </c>
      <c r="C409" s="22" t="s">
        <v>1727</v>
      </c>
      <c r="D409" s="22" t="s">
        <v>13</v>
      </c>
      <c r="E409" s="23" t="s">
        <v>1728</v>
      </c>
      <c r="F409" s="22" t="str">
        <f ca="1">IFERROR(__xludf.DUMMYFUNCTION("GOOGLETRANSLATE(E409,""ar"",""en"")"),"Eastern Sukoon Grocery")</f>
        <v>Eastern Sukoon Grocery</v>
      </c>
      <c r="G409" s="22" t="s">
        <v>3584</v>
      </c>
      <c r="H409" s="24" t="s">
        <v>3592</v>
      </c>
      <c r="I409" s="22" t="s">
        <v>3652</v>
      </c>
      <c r="J409" s="5" t="str">
        <f ca="1">IFERROR(__xludf.DUMMYFUNCTION("GOOGLETRANSLATE(G409,""ar"",""en"")"),"Granada")</f>
        <v>Granada</v>
      </c>
      <c r="K409" s="11"/>
      <c r="L409" s="11"/>
      <c r="M409" s="5" t="str">
        <f ca="1">IFERROR(__xludf.DUMMYFUNCTION("GOOGLETRANSLATE(J409,""ar"",""en"")"),"#VALUE!")</f>
        <v>#VALUE!</v>
      </c>
      <c r="N409" s="12" t="s">
        <v>1729</v>
      </c>
      <c r="O409" s="10" t="s">
        <v>1730</v>
      </c>
    </row>
    <row r="410" spans="1:15" ht="20.100000000000001" customHeight="1" thickTop="1" thickBot="1">
      <c r="A410" s="1"/>
      <c r="B410" s="22">
        <v>409</v>
      </c>
      <c r="C410" s="22" t="s">
        <v>1731</v>
      </c>
      <c r="D410" s="22" t="s">
        <v>13</v>
      </c>
      <c r="E410" s="22" t="s">
        <v>1732</v>
      </c>
      <c r="F410" s="22" t="str">
        <f ca="1">IFERROR(__xludf.DUMMYFUNCTION("GOOGLETRANSLATE(E410,""ar"",""en"")"),"Sweets Markets")</f>
        <v>Sweets Markets</v>
      </c>
      <c r="G410" s="22" t="s">
        <v>3584</v>
      </c>
      <c r="H410" s="24" t="s">
        <v>3592</v>
      </c>
      <c r="I410" s="22" t="s">
        <v>3652</v>
      </c>
      <c r="J410" s="5" t="str">
        <f ca="1">IFERROR(__xludf.DUMMYFUNCTION("GOOGLETRANSLATE(G410,""ar"",""en"")"),"Granada")</f>
        <v>Granada</v>
      </c>
      <c r="K410" s="5">
        <v>500762001</v>
      </c>
      <c r="L410" s="5" t="s">
        <v>1733</v>
      </c>
      <c r="M410" s="5" t="str">
        <f ca="1">IFERROR(__xludf.DUMMYFUNCTION("GOOGLETRANSLATE(J410,""ar"",""en"")"),"Mohammed Abdo")</f>
        <v>Mohammed Abdo</v>
      </c>
      <c r="N410" s="6" t="s">
        <v>1734</v>
      </c>
      <c r="O410" s="10" t="s">
        <v>1735</v>
      </c>
    </row>
    <row r="411" spans="1:15" ht="20.100000000000001" customHeight="1" thickTop="1" thickBot="1">
      <c r="A411" s="1"/>
      <c r="B411" s="22">
        <v>410</v>
      </c>
      <c r="C411" s="22" t="s">
        <v>1736</v>
      </c>
      <c r="D411" s="22" t="s">
        <v>13</v>
      </c>
      <c r="E411" s="23" t="s">
        <v>1737</v>
      </c>
      <c r="F411" s="22" t="str">
        <f ca="1">IFERROR(__xludf.DUMMYFUNCTION("GOOGLETRANSLATE(E411,""ar"",""en"")"),"Kain Marketing Center")</f>
        <v>Kain Marketing Center</v>
      </c>
      <c r="G411" s="22" t="s">
        <v>3584</v>
      </c>
      <c r="H411" s="24" t="s">
        <v>3592</v>
      </c>
      <c r="I411" s="22" t="s">
        <v>3652</v>
      </c>
      <c r="J411" s="5" t="str">
        <f ca="1">IFERROR(__xludf.DUMMYFUNCTION("GOOGLETRANSLATE(G411,""ar"",""en"")"),"Granada")</f>
        <v>Granada</v>
      </c>
      <c r="K411" s="11">
        <v>502807617</v>
      </c>
      <c r="L411" s="11"/>
      <c r="M411" s="5" t="str">
        <f ca="1">IFERROR(__xludf.DUMMYFUNCTION("GOOGLETRANSLATE(J411,""ar"",""en"")"),"#VALUE!")</f>
        <v>#VALUE!</v>
      </c>
      <c r="N411" s="12" t="s">
        <v>1738</v>
      </c>
      <c r="O411" s="10" t="s">
        <v>1739</v>
      </c>
    </row>
    <row r="412" spans="1:15" ht="20.100000000000001" customHeight="1" thickTop="1" thickBot="1">
      <c r="A412" s="1"/>
      <c r="B412" s="22">
        <v>411</v>
      </c>
      <c r="C412" s="22" t="s">
        <v>1740</v>
      </c>
      <c r="D412" s="22" t="s">
        <v>13</v>
      </c>
      <c r="E412" s="22" t="s">
        <v>1741</v>
      </c>
      <c r="F412" s="22" t="str">
        <f ca="1">IFERROR(__xludf.DUMMYFUNCTION("GOOGLETRANSLATE(E412,""ar"",""en"")"),"Zad and Karam Al-Khair Supplies")</f>
        <v>Zad and Karam Al-Khair Supplies</v>
      </c>
      <c r="G412" s="22" t="s">
        <v>3584</v>
      </c>
      <c r="H412" s="24" t="s">
        <v>3592</v>
      </c>
      <c r="I412" s="22" t="s">
        <v>3652</v>
      </c>
      <c r="J412" s="5" t="str">
        <f ca="1">IFERROR(__xludf.DUMMYFUNCTION("GOOGLETRANSLATE(G412,""ar"",""en"")"),"Granada")</f>
        <v>Granada</v>
      </c>
      <c r="K412" s="5">
        <v>563088330</v>
      </c>
      <c r="L412" s="5" t="s">
        <v>1742</v>
      </c>
      <c r="M412" s="5" t="str">
        <f ca="1">IFERROR(__xludf.DUMMYFUNCTION("GOOGLETRANSLATE(J412,""ar"",""en"")"),"Kamal")</f>
        <v>Kamal</v>
      </c>
      <c r="N412" s="6" t="s">
        <v>1743</v>
      </c>
      <c r="O412" s="10" t="s">
        <v>1744</v>
      </c>
    </row>
    <row r="413" spans="1:15" ht="20.100000000000001" customHeight="1" thickTop="1" thickBot="1">
      <c r="A413" s="1"/>
      <c r="B413" s="22">
        <v>412</v>
      </c>
      <c r="C413" s="22" t="s">
        <v>1745</v>
      </c>
      <c r="D413" s="22" t="s">
        <v>13</v>
      </c>
      <c r="E413" s="23" t="s">
        <v>1746</v>
      </c>
      <c r="F413" s="22" t="str">
        <f ca="1">IFERROR(__xludf.DUMMYFUNCTION("GOOGLETRANSLATE(E413,""ar"",""en"")"),"Al-Ayiri Markets")</f>
        <v>Al-Ayiri Markets</v>
      </c>
      <c r="G413" s="22" t="s">
        <v>3584</v>
      </c>
      <c r="H413" s="24" t="s">
        <v>3592</v>
      </c>
      <c r="I413" s="22" t="s">
        <v>3652</v>
      </c>
      <c r="J413" s="5" t="str">
        <f ca="1">IFERROR(__xludf.DUMMYFUNCTION("GOOGLETRANSLATE(G413,""ar"",""en"")"),"Granada")</f>
        <v>Granada</v>
      </c>
      <c r="K413" s="11">
        <v>505394314</v>
      </c>
      <c r="L413" s="11" t="s">
        <v>1747</v>
      </c>
      <c r="M413" s="5" t="str">
        <f ca="1">IFERROR(__xludf.DUMMYFUNCTION("GOOGLETRANSLATE(J413,""ar"",""en"")"),"Rashid")</f>
        <v>Rashid</v>
      </c>
      <c r="N413" s="12" t="s">
        <v>1748</v>
      </c>
      <c r="O413" s="10" t="s">
        <v>1749</v>
      </c>
    </row>
    <row r="414" spans="1:15" ht="20.100000000000001" customHeight="1" thickTop="1" thickBot="1">
      <c r="A414" s="1"/>
      <c r="B414" s="22">
        <v>413</v>
      </c>
      <c r="C414" s="22" t="s">
        <v>1750</v>
      </c>
      <c r="D414" s="22" t="s">
        <v>13</v>
      </c>
      <c r="E414" s="22" t="s">
        <v>1751</v>
      </c>
      <c r="F414" s="22" t="str">
        <f ca="1">IFERROR(__xludf.DUMMYFUNCTION("GOOGLETRANSLATE(E414,""ar"",""en"")"),"Customer's misleading supplies")</f>
        <v>Customer's misleading supplies</v>
      </c>
      <c r="G414" s="22" t="s">
        <v>3585</v>
      </c>
      <c r="H414" s="24" t="s">
        <v>3587</v>
      </c>
      <c r="I414" s="22" t="s">
        <v>3649</v>
      </c>
      <c r="J414" s="5" t="str">
        <f ca="1">IFERROR(__xludf.DUMMYFUNCTION("GOOGLETRANSLATE(G414,""ar"",""en"")"),"The Jalawiyya")</f>
        <v>The Jalawiyya</v>
      </c>
      <c r="K414" s="5">
        <v>536920879</v>
      </c>
      <c r="L414" s="5"/>
      <c r="M414" s="5" t="str">
        <f ca="1">IFERROR(__xludf.DUMMYFUNCTION("GOOGLETRANSLATE(J414,""ar"",""en"")"),"#VALUE!")</f>
        <v>#VALUE!</v>
      </c>
      <c r="N414" s="6" t="s">
        <v>1752</v>
      </c>
      <c r="O414" s="10" t="s">
        <v>1753</v>
      </c>
    </row>
    <row r="415" spans="1:15" ht="20.100000000000001" customHeight="1" thickTop="1" thickBot="1">
      <c r="A415" s="1"/>
      <c r="B415" s="22">
        <v>414</v>
      </c>
      <c r="C415" s="22" t="s">
        <v>1754</v>
      </c>
      <c r="D415" s="22" t="s">
        <v>13</v>
      </c>
      <c r="E415" s="23" t="s">
        <v>1755</v>
      </c>
      <c r="F415" s="22" t="str">
        <f ca="1">IFERROR(__xludf.DUMMYFUNCTION("GOOGLETRANSLATE(E415,""ar"",""en"")"),"Jubail Coast Company")</f>
        <v>Jubail Coast Company</v>
      </c>
      <c r="G415" s="22" t="s">
        <v>3585</v>
      </c>
      <c r="H415" s="24" t="s">
        <v>3587</v>
      </c>
      <c r="I415" s="22" t="s">
        <v>3649</v>
      </c>
      <c r="J415" s="5" t="str">
        <f ca="1">IFERROR(__xludf.DUMMYFUNCTION("GOOGLETRANSLATE(G415,""ar"",""en"")"),"The Jalawiyya")</f>
        <v>The Jalawiyya</v>
      </c>
      <c r="K415" s="11">
        <v>508924610</v>
      </c>
      <c r="L415" s="11" t="s">
        <v>1742</v>
      </c>
      <c r="M415" s="5" t="str">
        <f ca="1">IFERROR(__xludf.DUMMYFUNCTION("GOOGLETRANSLATE(J415,""ar"",""en"")"),"Kamal")</f>
        <v>Kamal</v>
      </c>
      <c r="N415" s="12" t="s">
        <v>1756</v>
      </c>
      <c r="O415" s="10" t="s">
        <v>1757</v>
      </c>
    </row>
    <row r="416" spans="1:15" ht="20.100000000000001" customHeight="1" thickTop="1" thickBot="1">
      <c r="A416" s="1"/>
      <c r="B416" s="22">
        <v>415</v>
      </c>
      <c r="C416" s="22" t="s">
        <v>1758</v>
      </c>
      <c r="D416" s="22" t="s">
        <v>13</v>
      </c>
      <c r="E416" s="22" t="s">
        <v>1683</v>
      </c>
      <c r="F416" s="22" t="str">
        <f ca="1">IFERROR(__xludf.DUMMYFUNCTION("GOOGLETRANSLATE(E416,""ar"",""en"")"),"Come another time")</f>
        <v>Come another time</v>
      </c>
      <c r="G416" s="22" t="s">
        <v>3585</v>
      </c>
      <c r="H416" s="24" t="s">
        <v>3587</v>
      </c>
      <c r="I416" s="22" t="s">
        <v>3649</v>
      </c>
      <c r="J416" s="5" t="str">
        <f ca="1">IFERROR(__xludf.DUMMYFUNCTION("GOOGLETRANSLATE(G416,""ar"",""en"")"),"#VALUE!")</f>
        <v>#VALUE!</v>
      </c>
      <c r="K416" s="5"/>
      <c r="L416" s="5"/>
      <c r="M416" s="5" t="str">
        <f ca="1">IFERROR(__xludf.DUMMYFUNCTION("GOOGLETRANSLATE(J416,""ar"",""en"")"),"#VALUE!")</f>
        <v>#VALUE!</v>
      </c>
      <c r="N416" s="6" t="s">
        <v>1759</v>
      </c>
      <c r="O416" s="10" t="s">
        <v>1760</v>
      </c>
    </row>
    <row r="417" spans="1:15" ht="20.100000000000001" customHeight="1" thickTop="1" thickBot="1">
      <c r="A417" s="1"/>
      <c r="B417" s="22">
        <v>416</v>
      </c>
      <c r="C417" s="22" t="s">
        <v>1761</v>
      </c>
      <c r="D417" s="22" t="s">
        <v>13</v>
      </c>
      <c r="E417" s="23" t="s">
        <v>1762</v>
      </c>
      <c r="F417" s="22" t="str">
        <f ca="1">IFERROR(__xludf.DUMMYFUNCTION("GOOGLETRANSLATE(E417,""ar"",""en"")"),"Badia.com Company")</f>
        <v>Badia.com Company</v>
      </c>
      <c r="G417" s="22" t="s">
        <v>3585</v>
      </c>
      <c r="H417" s="24" t="s">
        <v>3587</v>
      </c>
      <c r="I417" s="22" t="s">
        <v>3649</v>
      </c>
      <c r="J417" s="5" t="str">
        <f ca="1">IFERROR(__xludf.DUMMYFUNCTION("GOOGLETRANSLATE(G417,""ar"",""en"")"),"The Jalawiyya")</f>
        <v>The Jalawiyya</v>
      </c>
      <c r="K417" s="11">
        <v>538437013</v>
      </c>
      <c r="L417" s="11" t="s">
        <v>1763</v>
      </c>
      <c r="M417" s="5" t="str">
        <f ca="1">IFERROR(__xludf.DUMMYFUNCTION("GOOGLETRANSLATE(J417,""ar"",""en"")"),"Muhammad Ali")</f>
        <v>Muhammad Ali</v>
      </c>
      <c r="N417" s="12" t="s">
        <v>1764</v>
      </c>
      <c r="O417" s="10" t="s">
        <v>1765</v>
      </c>
    </row>
    <row r="418" spans="1:15" ht="20.100000000000001" customHeight="1" thickTop="1" thickBot="1">
      <c r="A418" s="1"/>
      <c r="B418" s="22">
        <v>417</v>
      </c>
      <c r="C418" s="22" t="s">
        <v>1766</v>
      </c>
      <c r="D418" s="22" t="s">
        <v>13</v>
      </c>
      <c r="E418" s="22" t="s">
        <v>1767</v>
      </c>
      <c r="F418" s="22" t="str">
        <f ca="1">IFERROR(__xludf.DUMMYFUNCTION("GOOGLETRANSLATE(E418,""ar"",""en"")"),"Garden Grocery")</f>
        <v>Garden Grocery</v>
      </c>
      <c r="G418" s="22" t="s">
        <v>3585</v>
      </c>
      <c r="H418" s="24" t="s">
        <v>3587</v>
      </c>
      <c r="I418" s="22" t="s">
        <v>3649</v>
      </c>
      <c r="J418" s="5" t="str">
        <f ca="1">IFERROR(__xludf.DUMMYFUNCTION("GOOGLETRANSLATE(G418,""ar"",""en"")"),"Al-Jalawiyya")</f>
        <v>Al-Jalawiyya</v>
      </c>
      <c r="K418" s="5">
        <v>503860211</v>
      </c>
      <c r="L418" s="5"/>
      <c r="M418" s="5" t="str">
        <f ca="1">IFERROR(__xludf.DUMMYFUNCTION("GOOGLETRANSLATE(J418,""ar"",""en"")"),"#VALUE!")</f>
        <v>#VALUE!</v>
      </c>
      <c r="N418" s="6" t="s">
        <v>1768</v>
      </c>
      <c r="O418" s="10" t="s">
        <v>1769</v>
      </c>
    </row>
    <row r="419" spans="1:15" ht="20.100000000000001" customHeight="1" thickTop="1" thickBot="1">
      <c r="A419" s="1"/>
      <c r="B419" s="22">
        <v>418</v>
      </c>
      <c r="C419" s="22" t="s">
        <v>1770</v>
      </c>
      <c r="D419" s="22" t="s">
        <v>13</v>
      </c>
      <c r="E419" s="23" t="s">
        <v>1771</v>
      </c>
      <c r="F419" s="22" t="str">
        <f ca="1">IFERROR(__xludf.DUMMYFUNCTION("GOOGLETRANSLATE(E419,""ar"",""en"")"),"Neighborhood Grocery")</f>
        <v>Neighborhood Grocery</v>
      </c>
      <c r="G419" s="22" t="s">
        <v>3585</v>
      </c>
      <c r="H419" s="24" t="s">
        <v>3587</v>
      </c>
      <c r="I419" s="23" t="s">
        <v>3655</v>
      </c>
      <c r="J419" s="5" t="str">
        <f ca="1">IFERROR(__xludf.DUMMYFUNCTION("GOOGLETRANSLATE(G419,""ar"",""en"")"),"Al-Anoud")</f>
        <v>Al-Anoud</v>
      </c>
      <c r="K419" s="11">
        <v>570689165</v>
      </c>
      <c r="L419" s="11" t="s">
        <v>1772</v>
      </c>
      <c r="M419" s="5" t="str">
        <f ca="1">IFERROR(__xludf.DUMMYFUNCTION("GOOGLETRANSLATE(J419,""ar"",""en"")"),"Saber")</f>
        <v>Saber</v>
      </c>
      <c r="N419" s="12" t="s">
        <v>1773</v>
      </c>
      <c r="O419" s="10" t="s">
        <v>1774</v>
      </c>
    </row>
    <row r="420" spans="1:15" ht="20.100000000000001" customHeight="1" thickTop="1" thickBot="1">
      <c r="A420" s="1"/>
      <c r="B420" s="22">
        <v>419</v>
      </c>
      <c r="C420" s="22" t="s">
        <v>1775</v>
      </c>
      <c r="D420" s="22" t="s">
        <v>13</v>
      </c>
      <c r="E420" s="22" t="s">
        <v>1776</v>
      </c>
      <c r="F420" s="22" t="str">
        <f ca="1">IFERROR(__xludf.DUMMYFUNCTION("GOOGLETRANSLATE(E420,""ar"",""en"")"),"Abu Al-Hawaij Supplies")</f>
        <v>Abu Al-Hawaij Supplies</v>
      </c>
      <c r="G420" s="22" t="s">
        <v>3585</v>
      </c>
      <c r="H420" s="24" t="s">
        <v>3587</v>
      </c>
      <c r="I420" s="23" t="s">
        <v>3655</v>
      </c>
      <c r="J420" s="5" t="str">
        <f ca="1">IFERROR(__xludf.DUMMYFUNCTION("GOOGLETRANSLATE(G420,""ar"",""en"")"),"Al-Anoud")</f>
        <v>Al-Anoud</v>
      </c>
      <c r="K420" s="5">
        <v>503816067</v>
      </c>
      <c r="L420" s="5" t="s">
        <v>83</v>
      </c>
      <c r="M420" s="5" t="str">
        <f ca="1">IFERROR(__xludf.DUMMYFUNCTION("GOOGLETRANSLATE(J420,""ar"",""en"")"),"on")</f>
        <v>on</v>
      </c>
      <c r="N420" s="6" t="s">
        <v>1777</v>
      </c>
      <c r="O420" s="10" t="s">
        <v>1778</v>
      </c>
    </row>
    <row r="421" spans="1:15" ht="20.100000000000001" customHeight="1" thickTop="1" thickBot="1">
      <c r="A421" s="1"/>
      <c r="B421" s="22">
        <v>420</v>
      </c>
      <c r="C421" s="22" t="s">
        <v>1779</v>
      </c>
      <c r="D421" s="22" t="s">
        <v>13</v>
      </c>
      <c r="E421" s="23" t="s">
        <v>1780</v>
      </c>
      <c r="F421" s="22" t="str">
        <f ca="1">IFERROR(__xludf.DUMMYFUNCTION("GOOGLETRANSLATE(E421,""ar"",""en"")"),"Najoud Supplies")</f>
        <v>Najoud Supplies</v>
      </c>
      <c r="G421" s="22" t="s">
        <v>3585</v>
      </c>
      <c r="H421" s="24" t="s">
        <v>3587</v>
      </c>
      <c r="I421" s="23" t="s">
        <v>3655</v>
      </c>
      <c r="J421" s="5" t="str">
        <f ca="1">IFERROR(__xludf.DUMMYFUNCTION("GOOGLETRANSLATE(G421,""ar"",""en"")"),"Al-Anoud")</f>
        <v>Al-Anoud</v>
      </c>
      <c r="K421" s="11">
        <v>549775279</v>
      </c>
      <c r="L421" s="11"/>
      <c r="M421" s="5" t="str">
        <f ca="1">IFERROR(__xludf.DUMMYFUNCTION("GOOGLETRANSLATE(J421,""ar"",""en"")"),"#VALUE!")</f>
        <v>#VALUE!</v>
      </c>
      <c r="N421" s="12" t="s">
        <v>1781</v>
      </c>
      <c r="O421" s="10" t="s">
        <v>1782</v>
      </c>
    </row>
    <row r="422" spans="1:15" ht="20.100000000000001" customHeight="1" thickTop="1" thickBot="1">
      <c r="A422" s="1"/>
      <c r="B422" s="22">
        <v>421</v>
      </c>
      <c r="C422" s="22" t="s">
        <v>1783</v>
      </c>
      <c r="D422" s="22" t="s">
        <v>13</v>
      </c>
      <c r="E422" s="22" t="s">
        <v>1784</v>
      </c>
      <c r="F422" s="22" t="str">
        <f ca="1">IFERROR(__xludf.DUMMYFUNCTION("GOOGLETRANSLATE(E422,""ar"",""en"")"),"Muscov Summits Supplies")</f>
        <v>Muscov Summits Supplies</v>
      </c>
      <c r="G422" s="22" t="s">
        <v>3585</v>
      </c>
      <c r="H422" s="24" t="s">
        <v>3587</v>
      </c>
      <c r="I422" s="23" t="s">
        <v>3655</v>
      </c>
      <c r="J422" s="5" t="str">
        <f ca="1">IFERROR(__xludf.DUMMYFUNCTION("GOOGLETRANSLATE(G422,""ar"",""en"")"),"Al-Anoud")</f>
        <v>Al-Anoud</v>
      </c>
      <c r="K422" s="5">
        <v>508504694</v>
      </c>
      <c r="L422" s="5" t="s">
        <v>1742</v>
      </c>
      <c r="M422" s="5" t="str">
        <f ca="1">IFERROR(__xludf.DUMMYFUNCTION("GOOGLETRANSLATE(J422,""ar"",""en"")"),"Kamal")</f>
        <v>Kamal</v>
      </c>
      <c r="N422" s="6" t="s">
        <v>1785</v>
      </c>
      <c r="O422" s="10" t="s">
        <v>1786</v>
      </c>
    </row>
    <row r="423" spans="1:15" ht="20.100000000000001" customHeight="1" thickTop="1" thickBot="1">
      <c r="A423" s="1"/>
      <c r="B423" s="22">
        <v>422</v>
      </c>
      <c r="C423" s="22" t="s">
        <v>1787</v>
      </c>
      <c r="D423" s="22" t="s">
        <v>13</v>
      </c>
      <c r="E423" s="23" t="s">
        <v>1788</v>
      </c>
      <c r="F423" s="22" t="str">
        <f ca="1">IFERROR(__xludf.DUMMYFUNCTION("GOOGLETRANSLATE(E423,""ar"",""en"")"),"Basket of contentment")</f>
        <v>Basket of contentment</v>
      </c>
      <c r="G423" s="22" t="s">
        <v>3585</v>
      </c>
      <c r="H423" s="24" t="s">
        <v>3587</v>
      </c>
      <c r="I423" s="23" t="s">
        <v>3655</v>
      </c>
      <c r="J423" s="5" t="str">
        <f ca="1">IFERROR(__xludf.DUMMYFUNCTION("GOOGLETRANSLATE(G423,""ar"",""en"")"),"Al-Anoud")</f>
        <v>Al-Anoud</v>
      </c>
      <c r="K423" s="11">
        <v>538666113</v>
      </c>
      <c r="L423" s="11"/>
      <c r="M423" s="5" t="str">
        <f ca="1">IFERROR(__xludf.DUMMYFUNCTION("GOOGLETRANSLATE(J423,""ar"",""en"")"),"#VALUE!")</f>
        <v>#VALUE!</v>
      </c>
      <c r="N423" s="12" t="s">
        <v>1789</v>
      </c>
      <c r="O423" s="10" t="s">
        <v>1790</v>
      </c>
    </row>
    <row r="424" spans="1:15" ht="20.100000000000001" customHeight="1" thickTop="1" thickBot="1">
      <c r="A424" s="1"/>
      <c r="B424" s="22">
        <v>423</v>
      </c>
      <c r="C424" s="22" t="s">
        <v>1791</v>
      </c>
      <c r="D424" s="22" t="s">
        <v>13</v>
      </c>
      <c r="E424" s="22" t="s">
        <v>1792</v>
      </c>
      <c r="F424" s="22" t="str">
        <f ca="1">IFERROR(__xludf.DUMMYFUNCTION("GOOGLETRANSLATE(E424,""ar"",""en"")"),"Al Darb Al Mudee' Markets")</f>
        <v>Al Darb Al Mudee' Markets</v>
      </c>
      <c r="G424" s="22" t="s">
        <v>3585</v>
      </c>
      <c r="H424" s="24" t="s">
        <v>3587</v>
      </c>
      <c r="I424" s="22" t="s">
        <v>3683</v>
      </c>
      <c r="J424" s="5" t="str">
        <f ca="1">IFERROR(__xludf.DUMMYFUNCTION("GOOGLETRANSLATE(G424,""ar"",""en"")"),"Al-Aziziyah")</f>
        <v>Al-Aziziyah</v>
      </c>
      <c r="K424" s="5"/>
      <c r="L424" s="5"/>
      <c r="M424" s="5" t="str">
        <f ca="1">IFERROR(__xludf.DUMMYFUNCTION("GOOGLETRANSLATE(J424,""ar"",""en"")"),"#VALUE!")</f>
        <v>#VALUE!</v>
      </c>
      <c r="N424" s="6" t="s">
        <v>1793</v>
      </c>
      <c r="O424" s="10" t="s">
        <v>1794</v>
      </c>
    </row>
    <row r="425" spans="1:15" ht="20.100000000000001" customHeight="1" thickTop="1" thickBot="1">
      <c r="A425" s="1"/>
      <c r="B425" s="22">
        <v>424</v>
      </c>
      <c r="C425" s="22" t="s">
        <v>1795</v>
      </c>
      <c r="D425" s="22" t="s">
        <v>13</v>
      </c>
      <c r="E425" s="23" t="s">
        <v>1796</v>
      </c>
      <c r="F425" s="22" t="str">
        <f ca="1">IFERROR(__xludf.DUMMYFUNCTION("GOOGLETRANSLATE(E425,""ar"",""en"")"),"Al-Misbah Supplies")</f>
        <v>Al-Misbah Supplies</v>
      </c>
      <c r="G425" s="22" t="s">
        <v>3585</v>
      </c>
      <c r="H425" s="24" t="s">
        <v>3587</v>
      </c>
      <c r="I425" s="22" t="s">
        <v>3683</v>
      </c>
      <c r="J425" s="5" t="str">
        <f ca="1">IFERROR(__xludf.DUMMYFUNCTION("GOOGLETRANSLATE(G425,""ar"",""en"")"),"Al-Aziziyah")</f>
        <v>Al-Aziziyah</v>
      </c>
      <c r="K425" s="11">
        <v>549841364</v>
      </c>
      <c r="L425" s="11" t="s">
        <v>1797</v>
      </c>
      <c r="M425" s="5" t="str">
        <f ca="1">IFERROR(__xludf.DUMMYFUNCTION("GOOGLETRANSLATE(J425,""ar"",""en"")"),"Abu Abdul Rahman")</f>
        <v>Abu Abdul Rahman</v>
      </c>
      <c r="N425" s="12" t="s">
        <v>1798</v>
      </c>
      <c r="O425" s="10" t="s">
        <v>1799</v>
      </c>
    </row>
    <row r="426" spans="1:15" ht="20.100000000000001" customHeight="1" thickTop="1" thickBot="1">
      <c r="A426" s="1"/>
      <c r="B426" s="22">
        <v>425</v>
      </c>
      <c r="C426" s="22" t="s">
        <v>1800</v>
      </c>
      <c r="D426" s="22" t="s">
        <v>13</v>
      </c>
      <c r="E426" s="22" t="s">
        <v>1801</v>
      </c>
      <c r="F426" s="22" t="str">
        <f ca="1">IFERROR(__xludf.DUMMYFUNCTION("GOOGLETRANSLATE(E426,""ar"",""en"")"),"Eastern Olives Marketing")</f>
        <v>Eastern Olives Marketing</v>
      </c>
      <c r="G426" s="22" t="s">
        <v>3585</v>
      </c>
      <c r="H426" s="24" t="s">
        <v>3587</v>
      </c>
      <c r="I426" s="22" t="s">
        <v>3683</v>
      </c>
      <c r="J426" s="5" t="str">
        <f ca="1">IFERROR(__xludf.DUMMYFUNCTION("GOOGLETRANSLATE(G426,""ar"",""en"")"),"Al-Aziziyah")</f>
        <v>Al-Aziziyah</v>
      </c>
      <c r="K426" s="5"/>
      <c r="L426" s="5"/>
      <c r="M426" s="5" t="str">
        <f ca="1">IFERROR(__xludf.DUMMYFUNCTION("GOOGLETRANSLATE(J426,""ar"",""en"")"),"#VALUE!")</f>
        <v>#VALUE!</v>
      </c>
      <c r="N426" s="6" t="s">
        <v>1802</v>
      </c>
      <c r="O426" s="10" t="s">
        <v>1803</v>
      </c>
    </row>
    <row r="427" spans="1:15" ht="20.100000000000001" customHeight="1" thickTop="1" thickBot="1">
      <c r="A427" s="1"/>
      <c r="B427" s="22">
        <v>426</v>
      </c>
      <c r="C427" s="22" t="s">
        <v>1804</v>
      </c>
      <c r="D427" s="22" t="s">
        <v>13</v>
      </c>
      <c r="E427" s="23" t="s">
        <v>1805</v>
      </c>
      <c r="F427" s="22" t="str">
        <f ca="1">IFERROR(__xludf.DUMMYFUNCTION("GOOGLETRANSLATE(E427,""ar"",""en"")"),"Najmat Al-Ghadir Supplies")</f>
        <v>Najmat Al-Ghadir Supplies</v>
      </c>
      <c r="G427" s="22" t="s">
        <v>3585</v>
      </c>
      <c r="H427" s="24" t="s">
        <v>3587</v>
      </c>
      <c r="I427" s="22" t="s">
        <v>3683</v>
      </c>
      <c r="J427" s="5" t="str">
        <f ca="1">IFERROR(__xludf.DUMMYFUNCTION("GOOGLETRANSLATE(G427,""ar"",""en"")"),"Al-Aziziyah")</f>
        <v>Al-Aziziyah</v>
      </c>
      <c r="K427" s="11">
        <v>535684128</v>
      </c>
      <c r="L427" s="11"/>
      <c r="M427" s="5" t="str">
        <f ca="1">IFERROR(__xludf.DUMMYFUNCTION("GOOGLETRANSLATE(J427,""ar"",""en"")"),"#VALUE!")</f>
        <v>#VALUE!</v>
      </c>
      <c r="N427" s="12" t="s">
        <v>1806</v>
      </c>
      <c r="O427" s="10" t="s">
        <v>1807</v>
      </c>
    </row>
    <row r="428" spans="1:15" ht="20.100000000000001" customHeight="1" thickTop="1" thickBot="1">
      <c r="A428" s="1"/>
      <c r="B428" s="22">
        <v>427</v>
      </c>
      <c r="C428" s="22" t="s">
        <v>1808</v>
      </c>
      <c r="D428" s="22" t="s">
        <v>13</v>
      </c>
      <c r="E428" s="22" t="s">
        <v>192</v>
      </c>
      <c r="F428" s="22" t="str">
        <f ca="1">IFERROR(__xludf.DUMMYFUNCTION("GOOGLETRANSLATE(E428,""ar"",""en"")"),"supermarket")</f>
        <v>supermarket</v>
      </c>
      <c r="G428" s="22" t="s">
        <v>3585</v>
      </c>
      <c r="H428" s="24" t="s">
        <v>3587</v>
      </c>
      <c r="I428" s="22" t="s">
        <v>3683</v>
      </c>
      <c r="J428" s="5" t="str">
        <f ca="1">IFERROR(__xludf.DUMMYFUNCTION("GOOGLETRANSLATE(G428,""ar"",""en"")"),"Al-Aziziyah")</f>
        <v>Al-Aziziyah</v>
      </c>
      <c r="K428" s="5">
        <v>540822834</v>
      </c>
      <c r="L428" s="5"/>
      <c r="M428" s="5" t="str">
        <f ca="1">IFERROR(__xludf.DUMMYFUNCTION("GOOGLETRANSLATE(J428,""ar"",""en"")"),"#VALUE!")</f>
        <v>#VALUE!</v>
      </c>
      <c r="N428" s="6" t="s">
        <v>1809</v>
      </c>
      <c r="O428" s="10" t="s">
        <v>1810</v>
      </c>
    </row>
    <row r="429" spans="1:15" ht="20.100000000000001" customHeight="1" thickTop="1" thickBot="1">
      <c r="A429" s="1"/>
      <c r="B429" s="22">
        <v>428</v>
      </c>
      <c r="C429" s="22" t="s">
        <v>1811</v>
      </c>
      <c r="D429" s="22" t="s">
        <v>13</v>
      </c>
      <c r="E429" s="23" t="s">
        <v>1812</v>
      </c>
      <c r="F429" s="22" t="str">
        <f ca="1">IFERROR(__xludf.DUMMYFUNCTION("GOOGLETRANSLATE(E429,""ar"",""en"")"),"Nana Market")</f>
        <v>Nana Market</v>
      </c>
      <c r="G429" s="22" t="s">
        <v>3585</v>
      </c>
      <c r="H429" s="24" t="s">
        <v>3587</v>
      </c>
      <c r="I429" s="22" t="s">
        <v>3683</v>
      </c>
      <c r="J429" s="5" t="str">
        <f ca="1">IFERROR(__xludf.DUMMYFUNCTION("GOOGLETRANSLATE(G429,""ar"",""en"")"),"Al-Aziziyah")</f>
        <v>Al-Aziziyah</v>
      </c>
      <c r="K429" s="11">
        <v>563044795</v>
      </c>
      <c r="L429" s="11"/>
      <c r="M429" s="5" t="str">
        <f ca="1">IFERROR(__xludf.DUMMYFUNCTION("GOOGLETRANSLATE(J429,""ar"",""en"")"),"#VALUE!")</f>
        <v>#VALUE!</v>
      </c>
      <c r="N429" s="12" t="s">
        <v>1813</v>
      </c>
      <c r="O429" s="10" t="s">
        <v>1814</v>
      </c>
    </row>
    <row r="430" spans="1:15" ht="20.100000000000001" customHeight="1" thickTop="1" thickBot="1">
      <c r="A430" s="1"/>
      <c r="B430" s="22">
        <v>429</v>
      </c>
      <c r="C430" s="22" t="s">
        <v>1815</v>
      </c>
      <c r="D430" s="22" t="s">
        <v>13</v>
      </c>
      <c r="E430" s="22" t="s">
        <v>1816</v>
      </c>
      <c r="F430" s="22" t="str">
        <f ca="1">IFERROR(__xludf.DUMMYFUNCTION("GOOGLETRANSLATE(E430,""ar"",""en"")"),"Delta Bay Markets")</f>
        <v>Delta Bay Markets</v>
      </c>
      <c r="G430" s="22" t="s">
        <v>3585</v>
      </c>
      <c r="H430" s="24" t="s">
        <v>3587</v>
      </c>
      <c r="I430" s="22" t="s">
        <v>3683</v>
      </c>
      <c r="J430" s="5" t="str">
        <f ca="1">IFERROR(__xludf.DUMMYFUNCTION("GOOGLETRANSLATE(G430,""ar"",""en"")"),"Al-Aziziyah")</f>
        <v>Al-Aziziyah</v>
      </c>
      <c r="K430" s="5">
        <v>530031426</v>
      </c>
      <c r="L430" s="5" t="s">
        <v>153</v>
      </c>
      <c r="M430" s="5" t="str">
        <f ca="1">IFERROR(__xludf.DUMMYFUNCTION("GOOGLETRANSLATE(J430,""ar"",""en"")"),"Abdulrahman")</f>
        <v>Abdulrahman</v>
      </c>
      <c r="N430" s="6" t="s">
        <v>1817</v>
      </c>
      <c r="O430" s="10" t="s">
        <v>1818</v>
      </c>
    </row>
    <row r="431" spans="1:15" ht="20.100000000000001" customHeight="1" thickTop="1" thickBot="1">
      <c r="A431" s="1"/>
      <c r="B431" s="22">
        <v>430</v>
      </c>
      <c r="C431" s="22" t="s">
        <v>1819</v>
      </c>
      <c r="D431" s="22" t="s">
        <v>13</v>
      </c>
      <c r="E431" s="23" t="s">
        <v>1820</v>
      </c>
      <c r="F431" s="22" t="str">
        <f ca="1">IFERROR(__xludf.DUMMYFUNCTION("GOOGLETRANSLATE(E431,""ar"",""en"")"),"Fresh Grocery Store")</f>
        <v>Fresh Grocery Store</v>
      </c>
      <c r="G431" s="22" t="s">
        <v>3585</v>
      </c>
      <c r="H431" s="24" t="s">
        <v>3587</v>
      </c>
      <c r="I431" s="22" t="s">
        <v>3636</v>
      </c>
      <c r="J431" s="5" t="str">
        <f ca="1">IFERROR(__xludf.DUMMYFUNCTION("GOOGLETRANSLATE(G431,""ar"",""en"")"),"Lake")</f>
        <v>Lake</v>
      </c>
      <c r="K431" s="11">
        <v>557804663</v>
      </c>
      <c r="L431" s="11" t="s">
        <v>1821</v>
      </c>
      <c r="M431" s="5" t="str">
        <f ca="1">IFERROR(__xludf.DUMMYFUNCTION("GOOGLETRANSLATE(J431,""ar"",""en"")"),"Abdul Jalil")</f>
        <v>Abdul Jalil</v>
      </c>
      <c r="N431" s="12" t="s">
        <v>1822</v>
      </c>
      <c r="O431" s="10" t="s">
        <v>1823</v>
      </c>
    </row>
    <row r="432" spans="1:15" ht="20.100000000000001" customHeight="1" thickTop="1" thickBot="1">
      <c r="A432" s="1"/>
      <c r="B432" s="22">
        <v>431</v>
      </c>
      <c r="C432" s="22" t="s">
        <v>1824</v>
      </c>
      <c r="D432" s="22" t="s">
        <v>13</v>
      </c>
      <c r="E432" s="22" t="s">
        <v>1825</v>
      </c>
      <c r="F432" s="22" t="str">
        <f ca="1">IFERROR(__xludf.DUMMYFUNCTION("GOOGLETRANSLATE(E432,""ar"",""en"")"),"Consumer lights")</f>
        <v>Consumer lights</v>
      </c>
      <c r="G432" s="22" t="s">
        <v>3585</v>
      </c>
      <c r="H432" s="24" t="s">
        <v>3587</v>
      </c>
      <c r="I432" s="22" t="s">
        <v>3674</v>
      </c>
      <c r="J432" s="5" t="str">
        <f ca="1">IFERROR(__xludf.DUMMYFUNCTION("GOOGLETRANSLATE(G432,""ar"",""en"")"),"The Jewel")</f>
        <v>The Jewel</v>
      </c>
      <c r="K432" s="5">
        <v>501919653</v>
      </c>
      <c r="L432" s="5"/>
      <c r="M432" s="5" t="str">
        <f ca="1">IFERROR(__xludf.DUMMYFUNCTION("GOOGLETRANSLATE(J432,""ar"",""en"")"),"#VALUE!")</f>
        <v>#VALUE!</v>
      </c>
      <c r="N432" s="6" t="s">
        <v>1826</v>
      </c>
      <c r="O432" s="10" t="s">
        <v>1827</v>
      </c>
    </row>
    <row r="433" spans="1:15" ht="20.100000000000001" customHeight="1" thickTop="1" thickBot="1">
      <c r="A433" s="1"/>
      <c r="B433" s="22">
        <v>432</v>
      </c>
      <c r="C433" s="22" t="s">
        <v>1828</v>
      </c>
      <c r="D433" s="22" t="s">
        <v>13</v>
      </c>
      <c r="E433" s="23" t="s">
        <v>1829</v>
      </c>
      <c r="F433" s="22" t="str">
        <f ca="1">IFERROR(__xludf.DUMMYFUNCTION("GOOGLETRANSLATE(E433,""ar"",""en"")"),"Arkan Al As'ar Grocery")</f>
        <v>Arkan Al As'ar Grocery</v>
      </c>
      <c r="G433" s="22" t="s">
        <v>3585</v>
      </c>
      <c r="H433" s="24" t="s">
        <v>3587</v>
      </c>
      <c r="I433" s="22" t="s">
        <v>3674</v>
      </c>
      <c r="J433" s="5" t="str">
        <f ca="1">IFERROR(__xludf.DUMMYFUNCTION("GOOGLETRANSLATE(G433,""ar"",""en"")"),"The Jewel")</f>
        <v>The Jewel</v>
      </c>
      <c r="K433" s="11">
        <v>590900043</v>
      </c>
      <c r="L433" s="11" t="s">
        <v>294</v>
      </c>
      <c r="M433" s="5" t="str">
        <f ca="1">IFERROR(__xludf.DUMMYFUNCTION("GOOGLETRANSLATE(J433,""ar"",""en"")"),"Mohammed")</f>
        <v>Mohammed</v>
      </c>
      <c r="N433" s="12" t="s">
        <v>1830</v>
      </c>
      <c r="O433" s="10" t="s">
        <v>1831</v>
      </c>
    </row>
    <row r="434" spans="1:15" ht="20.100000000000001" customHeight="1" thickTop="1" thickBot="1">
      <c r="A434" s="1"/>
      <c r="B434" s="22">
        <v>433</v>
      </c>
      <c r="C434" s="22" t="s">
        <v>1832</v>
      </c>
      <c r="D434" s="22" t="s">
        <v>13</v>
      </c>
      <c r="E434" s="22" t="s">
        <v>1833</v>
      </c>
      <c r="F434" s="22" t="str">
        <f ca="1">IFERROR(__xludf.DUMMYFUNCTION("GOOGLETRANSLATE(E434,""ar"",""en"")"),"Rawabi Al Jawhara Basket Markets")</f>
        <v>Rawabi Al Jawhara Basket Markets</v>
      </c>
      <c r="G434" s="22" t="s">
        <v>3585</v>
      </c>
      <c r="H434" s="24" t="s">
        <v>3587</v>
      </c>
      <c r="I434" s="22" t="s">
        <v>3674</v>
      </c>
      <c r="J434" s="5" t="str">
        <f ca="1">IFERROR(__xludf.DUMMYFUNCTION("GOOGLETRANSLATE(G434,""ar"",""en"")"),"The Jewel")</f>
        <v>The Jewel</v>
      </c>
      <c r="K434" s="5"/>
      <c r="L434" s="5"/>
      <c r="M434" s="5" t="str">
        <f ca="1">IFERROR(__xludf.DUMMYFUNCTION("GOOGLETRANSLATE(J434,""ar"",""en"")"),"#VALUE!")</f>
        <v>#VALUE!</v>
      </c>
      <c r="N434" s="6" t="s">
        <v>1834</v>
      </c>
      <c r="O434" s="10" t="s">
        <v>1835</v>
      </c>
    </row>
    <row r="435" spans="1:15" ht="20.100000000000001" customHeight="1" thickTop="1" thickBot="1">
      <c r="A435" s="1"/>
      <c r="B435" s="22">
        <v>434</v>
      </c>
      <c r="C435" s="22" t="s">
        <v>1836</v>
      </c>
      <c r="D435" s="22" t="s">
        <v>13</v>
      </c>
      <c r="E435" s="23" t="s">
        <v>1837</v>
      </c>
      <c r="F435" s="22" t="str">
        <f ca="1">IFERROR(__xludf.DUMMYFUNCTION("GOOGLETRANSLATE(E435,""ar"",""en"")"),"Sama Al Jawhara Company")</f>
        <v>Sama Al Jawhara Company</v>
      </c>
      <c r="G435" s="22" t="s">
        <v>3585</v>
      </c>
      <c r="H435" s="24" t="s">
        <v>3587</v>
      </c>
      <c r="I435" s="22" t="s">
        <v>3674</v>
      </c>
      <c r="J435" s="5" t="str">
        <f ca="1">IFERROR(__xludf.DUMMYFUNCTION("GOOGLETRANSLATE(G435,""ar"",""en"")"),"The Jewel")</f>
        <v>The Jewel</v>
      </c>
      <c r="K435" s="11"/>
      <c r="L435" s="11"/>
      <c r="M435" s="5" t="str">
        <f ca="1">IFERROR(__xludf.DUMMYFUNCTION("GOOGLETRANSLATE(J435,""ar"",""en"")"),"#VALUE!")</f>
        <v>#VALUE!</v>
      </c>
      <c r="N435" s="12" t="s">
        <v>1838</v>
      </c>
      <c r="O435" s="10" t="s">
        <v>1839</v>
      </c>
    </row>
    <row r="436" spans="1:15" ht="20.100000000000001" customHeight="1" thickTop="1" thickBot="1">
      <c r="A436" s="1"/>
      <c r="B436" s="22">
        <v>435</v>
      </c>
      <c r="C436" s="22" t="s">
        <v>1840</v>
      </c>
      <c r="D436" s="22" t="s">
        <v>13</v>
      </c>
      <c r="E436" s="22" t="s">
        <v>1841</v>
      </c>
      <c r="F436" s="22" t="str">
        <f ca="1">IFERROR(__xludf.DUMMYFUNCTION("GOOGLETRANSLATE(E436,""ar"",""en"")"),"Beit Al-Tawasul Supplies")</f>
        <v>Beit Al-Tawasul Supplies</v>
      </c>
      <c r="G436" s="22" t="s">
        <v>3585</v>
      </c>
      <c r="H436" s="24" t="s">
        <v>3587</v>
      </c>
      <c r="I436" s="22" t="s">
        <v>3674</v>
      </c>
      <c r="J436" s="5" t="str">
        <f ca="1">IFERROR(__xludf.DUMMYFUNCTION("GOOGLETRANSLATE(G436,""ar"",""en"")"),"The Jewel")</f>
        <v>The Jewel</v>
      </c>
      <c r="K436" s="5">
        <v>542915985</v>
      </c>
      <c r="L436" s="5"/>
      <c r="M436" s="5" t="str">
        <f ca="1">IFERROR(__xludf.DUMMYFUNCTION("GOOGLETRANSLATE(J436,""ar"",""en"")"),"#VALUE!")</f>
        <v>#VALUE!</v>
      </c>
      <c r="N436" s="6" t="s">
        <v>1842</v>
      </c>
      <c r="O436" s="10" t="s">
        <v>1843</v>
      </c>
    </row>
    <row r="437" spans="1:15" ht="20.100000000000001" customHeight="1" thickTop="1" thickBot="1">
      <c r="A437" s="1"/>
      <c r="B437" s="22">
        <v>436</v>
      </c>
      <c r="C437" s="22" t="s">
        <v>1844</v>
      </c>
      <c r="D437" s="22" t="s">
        <v>13</v>
      </c>
      <c r="E437" s="23" t="s">
        <v>1845</v>
      </c>
      <c r="F437" s="22" t="str">
        <f ca="1">IFERROR(__xludf.DUMMYFUNCTION("GOOGLETRANSLATE(E437,""ar"",""en"")"),"Eastern Basket Foundation")</f>
        <v>Eastern Basket Foundation</v>
      </c>
      <c r="G437" s="22" t="s">
        <v>3585</v>
      </c>
      <c r="H437" s="24" t="s">
        <v>3587</v>
      </c>
      <c r="I437" s="22" t="s">
        <v>3674</v>
      </c>
      <c r="J437" s="5" t="str">
        <f ca="1">IFERROR(__xludf.DUMMYFUNCTION("GOOGLETRANSLATE(G437,""ar"",""en"")"),"The Jewel")</f>
        <v>The Jewel</v>
      </c>
      <c r="K437" s="11">
        <v>567580049</v>
      </c>
      <c r="L437" s="11"/>
      <c r="M437" s="5" t="str">
        <f ca="1">IFERROR(__xludf.DUMMYFUNCTION("GOOGLETRANSLATE(J437,""ar"",""en"")"),"#VALUE!")</f>
        <v>#VALUE!</v>
      </c>
      <c r="N437" s="12" t="s">
        <v>1846</v>
      </c>
      <c r="O437" s="10" t="s">
        <v>1847</v>
      </c>
    </row>
    <row r="438" spans="1:15" ht="20.100000000000001" customHeight="1" thickTop="1" thickBot="1">
      <c r="A438" s="1"/>
      <c r="B438" s="22">
        <v>437</v>
      </c>
      <c r="C438" s="22" t="s">
        <v>1848</v>
      </c>
      <c r="D438" s="22" t="s">
        <v>13</v>
      </c>
      <c r="E438" s="22" t="s">
        <v>1849</v>
      </c>
      <c r="F438" s="22" t="str">
        <f ca="1">IFERROR(__xludf.DUMMYFUNCTION("GOOGLETRANSLATE(E438,""ar"",""en"")"),"Abdul-Ilah Al-Muhsin Al-Fifi Provisions")</f>
        <v>Abdul-Ilah Al-Muhsin Al-Fifi Provisions</v>
      </c>
      <c r="G438" s="22" t="s">
        <v>3585</v>
      </c>
      <c r="H438" s="24" t="s">
        <v>3587</v>
      </c>
      <c r="I438" s="22" t="s">
        <v>3674</v>
      </c>
      <c r="J438" s="5" t="str">
        <f ca="1">IFERROR(__xludf.DUMMYFUNCTION("GOOGLETRANSLATE(G438,""ar"",""en"")"),"The Jewel")</f>
        <v>The Jewel</v>
      </c>
      <c r="K438" s="5"/>
      <c r="L438" s="5"/>
      <c r="M438" s="5" t="str">
        <f ca="1">IFERROR(__xludf.DUMMYFUNCTION("GOOGLETRANSLATE(J438,""ar"",""en"")"),"#VALUE!")</f>
        <v>#VALUE!</v>
      </c>
      <c r="N438" s="6" t="s">
        <v>1850</v>
      </c>
      <c r="O438" s="10" t="s">
        <v>1851</v>
      </c>
    </row>
    <row r="439" spans="1:15" ht="20.100000000000001" customHeight="1" thickTop="1" thickBot="1">
      <c r="A439" s="1"/>
      <c r="B439" s="22">
        <v>438</v>
      </c>
      <c r="C439" s="22" t="s">
        <v>1852</v>
      </c>
      <c r="D439" s="22" t="s">
        <v>13</v>
      </c>
      <c r="E439" s="23" t="s">
        <v>1853</v>
      </c>
      <c r="F439" s="22" t="str">
        <f ca="1">IFERROR(__xludf.DUMMYFUNCTION("GOOGLETRANSLATE(E439,""ar"",""en"")"),"Fanar Al Mustaqbal Supplies")</f>
        <v>Fanar Al Mustaqbal Supplies</v>
      </c>
      <c r="G439" s="22" t="s">
        <v>3585</v>
      </c>
      <c r="H439" s="24" t="s">
        <v>3587</v>
      </c>
      <c r="I439" s="22" t="s">
        <v>3674</v>
      </c>
      <c r="J439" s="5" t="str">
        <f ca="1">IFERROR(__xludf.DUMMYFUNCTION("GOOGLETRANSLATE(G439,""ar"",""en"")"),"The Jewel")</f>
        <v>The Jewel</v>
      </c>
      <c r="K439" s="11">
        <v>552828342</v>
      </c>
      <c r="L439" s="11"/>
      <c r="M439" s="5" t="str">
        <f ca="1">IFERROR(__xludf.DUMMYFUNCTION("GOOGLETRANSLATE(J439,""ar"",""en"")"),"#VALUE!")</f>
        <v>#VALUE!</v>
      </c>
      <c r="N439" s="12" t="s">
        <v>1854</v>
      </c>
      <c r="O439" s="10" t="s">
        <v>1855</v>
      </c>
    </row>
    <row r="440" spans="1:15" ht="20.100000000000001" customHeight="1" thickTop="1" thickBot="1">
      <c r="A440" s="1"/>
      <c r="B440" s="22">
        <v>439</v>
      </c>
      <c r="C440" s="22" t="s">
        <v>1856</v>
      </c>
      <c r="D440" s="22" t="s">
        <v>13</v>
      </c>
      <c r="E440" s="22" t="s">
        <v>1857</v>
      </c>
      <c r="F440" s="22" t="str">
        <f ca="1">IFERROR(__xludf.DUMMYFUNCTION("GOOGLETRANSLATE(E440,""ar"",""en"")"),"Flexible supplies")</f>
        <v>Flexible supplies</v>
      </c>
      <c r="G440" s="22" t="s">
        <v>3585</v>
      </c>
      <c r="H440" s="24" t="s">
        <v>3587</v>
      </c>
      <c r="I440" s="23" t="s">
        <v>3612</v>
      </c>
      <c r="J440" s="5" t="str">
        <f ca="1">IFERROR(__xludf.DUMMYFUNCTION("GOOGLETRANSLATE(G440,""ar"",""en"")"),"Al-Hamra")</f>
        <v>Al-Hamra</v>
      </c>
      <c r="K440" s="5">
        <v>594002784</v>
      </c>
      <c r="L440" s="5"/>
      <c r="M440" s="5" t="str">
        <f ca="1">IFERROR(__xludf.DUMMYFUNCTION("GOOGLETRANSLATE(J440,""ar"",""en"")"),"#VALUE!")</f>
        <v>#VALUE!</v>
      </c>
      <c r="N440" s="6" t="s">
        <v>1858</v>
      </c>
      <c r="O440" s="10" t="s">
        <v>1859</v>
      </c>
    </row>
    <row r="441" spans="1:15" ht="20.100000000000001" customHeight="1" thickTop="1" thickBot="1">
      <c r="A441" s="1"/>
      <c r="B441" s="22">
        <v>440</v>
      </c>
      <c r="C441" s="22" t="s">
        <v>1860</v>
      </c>
      <c r="D441" s="22" t="s">
        <v>13</v>
      </c>
      <c r="E441" s="23" t="s">
        <v>1861</v>
      </c>
      <c r="F441" s="22" t="str">
        <f ca="1">IFERROR(__xludf.DUMMYFUNCTION("GOOGLETRANSLATE(E441,""ar"",""en"")"),"Fresh Consumer Supplies")</f>
        <v>Fresh Consumer Supplies</v>
      </c>
      <c r="G441" s="22" t="s">
        <v>3585</v>
      </c>
      <c r="H441" s="24" t="s">
        <v>3587</v>
      </c>
      <c r="I441" s="23" t="s">
        <v>3612</v>
      </c>
      <c r="J441" s="5" t="str">
        <f ca="1">IFERROR(__xludf.DUMMYFUNCTION("GOOGLETRANSLATE(G441,""ar"",""en"")"),"Al-Hamra")</f>
        <v>Al-Hamra</v>
      </c>
      <c r="K441" s="11">
        <v>579171905</v>
      </c>
      <c r="L441" s="11"/>
      <c r="M441" s="5" t="str">
        <f ca="1">IFERROR(__xludf.DUMMYFUNCTION("GOOGLETRANSLATE(J441,""ar"",""en"")"),"#VALUE!")</f>
        <v>#VALUE!</v>
      </c>
      <c r="N441" s="12" t="s">
        <v>1862</v>
      </c>
      <c r="O441" s="10" t="s">
        <v>1863</v>
      </c>
    </row>
    <row r="442" spans="1:15" ht="20.100000000000001" customHeight="1" thickTop="1" thickBot="1">
      <c r="A442" s="1"/>
      <c r="B442" s="22">
        <v>441</v>
      </c>
      <c r="C442" s="22" t="s">
        <v>1864</v>
      </c>
      <c r="D442" s="22" t="s">
        <v>13</v>
      </c>
      <c r="E442" s="22" t="s">
        <v>1865</v>
      </c>
      <c r="F442" s="22" t="str">
        <f ca="1">IFERROR(__xludf.DUMMYFUNCTION("GOOGLETRANSLATE(E442,""ar"",""en"")"),"The Best Fourth Supplies")</f>
        <v>The Best Fourth Supplies</v>
      </c>
      <c r="G442" s="22" t="s">
        <v>3585</v>
      </c>
      <c r="H442" s="24" t="s">
        <v>3587</v>
      </c>
      <c r="I442" s="23" t="s">
        <v>3612</v>
      </c>
      <c r="J442" s="5" t="str">
        <f ca="1">IFERROR(__xludf.DUMMYFUNCTION("GOOGLETRANSLATE(G442,""ar"",""en"")"),"Al-Hamra")</f>
        <v>Al-Hamra</v>
      </c>
      <c r="K442" s="5"/>
      <c r="L442" s="5"/>
      <c r="M442" s="5" t="str">
        <f ca="1">IFERROR(__xludf.DUMMYFUNCTION("GOOGLETRANSLATE(J442,""ar"",""en"")"),"#VALUE!")</f>
        <v>#VALUE!</v>
      </c>
      <c r="N442" s="6" t="s">
        <v>1866</v>
      </c>
      <c r="O442" s="10" t="s">
        <v>1867</v>
      </c>
    </row>
    <row r="443" spans="1:15" ht="20.100000000000001" customHeight="1" thickTop="1" thickBot="1">
      <c r="A443" s="1"/>
      <c r="B443" s="22">
        <v>442</v>
      </c>
      <c r="C443" s="22" t="s">
        <v>1868</v>
      </c>
      <c r="D443" s="22" t="s">
        <v>13</v>
      </c>
      <c r="E443" s="23" t="s">
        <v>1869</v>
      </c>
      <c r="F443" s="22" t="str">
        <f ca="1">IFERROR(__xludf.DUMMYFUNCTION("GOOGLETRANSLATE(E443,""ar"",""en"")"),"Nawaf Supplies")</f>
        <v>Nawaf Supplies</v>
      </c>
      <c r="G443" s="22" t="s">
        <v>3585</v>
      </c>
      <c r="H443" s="24" t="s">
        <v>3587</v>
      </c>
      <c r="I443" s="23" t="s">
        <v>3612</v>
      </c>
      <c r="J443" s="5" t="str">
        <f ca="1">IFERROR(__xludf.DUMMYFUNCTION("GOOGLETRANSLATE(G443,""ar"",""en"")"),"Al-Hamra")</f>
        <v>Al-Hamra</v>
      </c>
      <c r="K443" s="11">
        <v>561829556</v>
      </c>
      <c r="L443" s="11"/>
      <c r="M443" s="5" t="str">
        <f ca="1">IFERROR(__xludf.DUMMYFUNCTION("GOOGLETRANSLATE(J443,""ar"",""en"")"),"#VALUE!")</f>
        <v>#VALUE!</v>
      </c>
      <c r="N443" s="12" t="s">
        <v>1870</v>
      </c>
      <c r="O443" s="10" t="s">
        <v>1871</v>
      </c>
    </row>
    <row r="444" spans="1:15" ht="20.100000000000001" customHeight="1" thickTop="1" thickBot="1">
      <c r="A444" s="1"/>
      <c r="B444" s="22">
        <v>443</v>
      </c>
      <c r="C444" s="22" t="s">
        <v>1872</v>
      </c>
      <c r="D444" s="22" t="s">
        <v>13</v>
      </c>
      <c r="E444" s="22" t="s">
        <v>1873</v>
      </c>
      <c r="F444" s="22" t="str">
        <f ca="1">IFERROR(__xludf.DUMMYFUNCTION("GOOGLETRANSLATE(E444,""ar"",""en"")"),"Seven Town Supplies")</f>
        <v>Seven Town Supplies</v>
      </c>
      <c r="G444" s="22" t="s">
        <v>3585</v>
      </c>
      <c r="H444" s="24" t="s">
        <v>3587</v>
      </c>
      <c r="I444" s="23" t="s">
        <v>3612</v>
      </c>
      <c r="J444" s="5" t="str">
        <f ca="1">IFERROR(__xludf.DUMMYFUNCTION("GOOGLETRANSLATE(G444,""ar"",""en"")"),"Al-Hamra")</f>
        <v>Al-Hamra</v>
      </c>
      <c r="K444" s="5"/>
      <c r="L444" s="5"/>
      <c r="M444" s="5" t="str">
        <f ca="1">IFERROR(__xludf.DUMMYFUNCTION("GOOGLETRANSLATE(J444,""ar"",""en"")"),"#VALUE!")</f>
        <v>#VALUE!</v>
      </c>
      <c r="N444" s="6" t="s">
        <v>1874</v>
      </c>
      <c r="O444" s="10" t="s">
        <v>1875</v>
      </c>
    </row>
    <row r="445" spans="1:15" ht="20.100000000000001" customHeight="1" thickTop="1" thickBot="1">
      <c r="A445" s="1"/>
      <c r="B445" s="22">
        <v>444</v>
      </c>
      <c r="C445" s="22" t="s">
        <v>1876</v>
      </c>
      <c r="D445" s="22" t="s">
        <v>13</v>
      </c>
      <c r="E445" s="23" t="s">
        <v>1877</v>
      </c>
      <c r="F445" s="22" t="str">
        <f ca="1">IFERROR(__xludf.DUMMYFUNCTION("GOOGLETRANSLATE(E445,""ar"",""en"")"),"Island Shell Markets")</f>
        <v>Island Shell Markets</v>
      </c>
      <c r="G445" s="22" t="s">
        <v>3585</v>
      </c>
      <c r="H445" s="24" t="s">
        <v>3587</v>
      </c>
      <c r="I445" s="23" t="s">
        <v>3612</v>
      </c>
      <c r="J445" s="5" t="str">
        <f ca="1">IFERROR(__xludf.DUMMYFUNCTION("GOOGLETRANSLATE(G445,""ar"",""en"")"),"Al-Hamra")</f>
        <v>Al-Hamra</v>
      </c>
      <c r="K445" s="11">
        <v>590007466</v>
      </c>
      <c r="L445" s="11" t="s">
        <v>1878</v>
      </c>
      <c r="M445" s="5" t="str">
        <f ca="1">IFERROR(__xludf.DUMMYFUNCTION("GOOGLETRANSLATE(J445,""ar"",""en"")"),"Faisal")</f>
        <v>Faisal</v>
      </c>
      <c r="N445" s="12" t="s">
        <v>1879</v>
      </c>
      <c r="O445" s="10" t="s">
        <v>1880</v>
      </c>
    </row>
    <row r="446" spans="1:15" ht="20.100000000000001" customHeight="1" thickTop="1" thickBot="1">
      <c r="A446" s="1"/>
      <c r="B446" s="22">
        <v>445</v>
      </c>
      <c r="C446" s="22" t="s">
        <v>1881</v>
      </c>
      <c r="D446" s="22" t="s">
        <v>13</v>
      </c>
      <c r="E446" s="22" t="s">
        <v>1882</v>
      </c>
      <c r="F446" s="22" t="str">
        <f ca="1">IFERROR(__xludf.DUMMYFUNCTION("GOOGLETRANSLATE(E446,""ar"",""en"")"),"Tarbaq Company")</f>
        <v>Tarbaq Company</v>
      </c>
      <c r="G446" s="22" t="s">
        <v>3585</v>
      </c>
      <c r="H446" s="24" t="s">
        <v>3587</v>
      </c>
      <c r="I446" s="23" t="s">
        <v>3612</v>
      </c>
      <c r="J446" s="5" t="str">
        <f ca="1">IFERROR(__xludf.DUMMYFUNCTION("GOOGLETRANSLATE(G446,""ar"",""en"")"),"Al-Hamra")</f>
        <v>Al-Hamra</v>
      </c>
      <c r="K446" s="5"/>
      <c r="L446" s="5"/>
      <c r="M446" s="5" t="str">
        <f ca="1">IFERROR(__xludf.DUMMYFUNCTION("GOOGLETRANSLATE(J446,""ar"",""en"")"),"#VALUE!")</f>
        <v>#VALUE!</v>
      </c>
      <c r="N446" s="6" t="s">
        <v>1883</v>
      </c>
      <c r="O446" s="10" t="s">
        <v>1884</v>
      </c>
    </row>
    <row r="447" spans="1:15" ht="20.100000000000001" customHeight="1" thickTop="1" thickBot="1">
      <c r="A447" s="1"/>
      <c r="B447" s="22">
        <v>446</v>
      </c>
      <c r="C447" s="22" t="s">
        <v>1885</v>
      </c>
      <c r="D447" s="22" t="s">
        <v>13</v>
      </c>
      <c r="E447" s="23" t="s">
        <v>1886</v>
      </c>
      <c r="F447" s="22" t="str">
        <f ca="1">IFERROR(__xludf.DUMMYFUNCTION("GOOGLETRANSLATE(E447,""ar"",""en"")"),"Dammam Peace")</f>
        <v>Dammam Peace</v>
      </c>
      <c r="G447" s="22" t="s">
        <v>3585</v>
      </c>
      <c r="H447" s="24" t="s">
        <v>3587</v>
      </c>
      <c r="I447" s="23" t="s">
        <v>3612</v>
      </c>
      <c r="J447" s="5" t="str">
        <f ca="1">IFERROR(__xludf.DUMMYFUNCTION("GOOGLETRANSLATE(G447,""ar"",""en"")"),"Al-Hamra")</f>
        <v>Al-Hamra</v>
      </c>
      <c r="K447" s="11">
        <v>505764855</v>
      </c>
      <c r="L447" s="11"/>
      <c r="M447" s="5" t="str">
        <f ca="1">IFERROR(__xludf.DUMMYFUNCTION("GOOGLETRANSLATE(J447,""ar"",""en"")"),"#VALUE!")</f>
        <v>#VALUE!</v>
      </c>
      <c r="N447" s="12" t="s">
        <v>1887</v>
      </c>
      <c r="O447" s="10" t="s">
        <v>1888</v>
      </c>
    </row>
    <row r="448" spans="1:15" ht="20.100000000000001" customHeight="1" thickTop="1" thickBot="1">
      <c r="A448" s="1"/>
      <c r="B448" s="22">
        <v>447</v>
      </c>
      <c r="C448" s="22" t="s">
        <v>1889</v>
      </c>
      <c r="D448" s="22" t="s">
        <v>13</v>
      </c>
      <c r="E448" s="22" t="s">
        <v>1890</v>
      </c>
      <c r="F448" s="22" t="str">
        <f ca="1">IFERROR(__xludf.DUMMYFUNCTION("GOOGLETRANSLATE(E448,""ar"",""en"")"),"Sama Al-Jawhara")</f>
        <v>Sama Al-Jawhara</v>
      </c>
      <c r="G448" s="22" t="s">
        <v>3585</v>
      </c>
      <c r="H448" s="24" t="s">
        <v>3587</v>
      </c>
      <c r="I448" s="23" t="s">
        <v>3612</v>
      </c>
      <c r="J448" s="5" t="str">
        <f ca="1">IFERROR(__xludf.DUMMYFUNCTION("GOOGLETRANSLATE(G448,""ar"",""en"")"),"Al-Hamra")</f>
        <v>Al-Hamra</v>
      </c>
      <c r="K448" s="5"/>
      <c r="L448" s="5"/>
      <c r="M448" s="5" t="str">
        <f ca="1">IFERROR(__xludf.DUMMYFUNCTION("GOOGLETRANSLATE(J448,""ar"",""en"")"),"#VALUE!")</f>
        <v>#VALUE!</v>
      </c>
      <c r="N448" s="6" t="s">
        <v>1891</v>
      </c>
      <c r="O448" s="10" t="s">
        <v>1892</v>
      </c>
    </row>
    <row r="449" spans="1:15" ht="20.100000000000001" customHeight="1" thickTop="1" thickBot="1">
      <c r="A449" s="1"/>
      <c r="B449" s="22">
        <v>448</v>
      </c>
      <c r="C449" s="22" t="s">
        <v>1893</v>
      </c>
      <c r="D449" s="22" t="s">
        <v>13</v>
      </c>
      <c r="E449" s="23" t="s">
        <v>1085</v>
      </c>
      <c r="F449" s="22" t="str">
        <f ca="1">IFERROR(__xludf.DUMMYFUNCTION("GOOGLETRANSLATE(E449,""ar"",""en"")"),"Al-Dhahab Supplies")</f>
        <v>Al-Dhahab Supplies</v>
      </c>
      <c r="G449" s="22" t="s">
        <v>3585</v>
      </c>
      <c r="H449" s="24" t="s">
        <v>3587</v>
      </c>
      <c r="I449" s="23" t="s">
        <v>3612</v>
      </c>
      <c r="J449" s="5" t="str">
        <f ca="1">IFERROR(__xludf.DUMMYFUNCTION("GOOGLETRANSLATE(G449,""ar"",""en"")"),"Al-Hamra")</f>
        <v>Al-Hamra</v>
      </c>
      <c r="K449" s="11">
        <v>507202444</v>
      </c>
      <c r="L449" s="11" t="s">
        <v>1894</v>
      </c>
      <c r="M449" s="5" t="str">
        <f ca="1">IFERROR(__xludf.DUMMYFUNCTION("GOOGLETRANSLATE(J449,""ar"",""en"")"),"Youssef Walid")</f>
        <v>Youssef Walid</v>
      </c>
      <c r="N449" s="12" t="s">
        <v>1895</v>
      </c>
      <c r="O449" s="10" t="s">
        <v>1896</v>
      </c>
    </row>
    <row r="450" spans="1:15" ht="20.100000000000001" customHeight="1" thickTop="1" thickBot="1">
      <c r="A450" s="1"/>
      <c r="B450" s="22">
        <v>449</v>
      </c>
      <c r="C450" s="22" t="s">
        <v>1897</v>
      </c>
      <c r="D450" s="22" t="s">
        <v>13</v>
      </c>
      <c r="E450" s="22" t="s">
        <v>1898</v>
      </c>
      <c r="F450" s="22" t="str">
        <f ca="1">IFERROR(__xludf.DUMMYFUNCTION("GOOGLETRANSLATE(E450,""ar"",""en"")"),"Central Flower Supplies")</f>
        <v>Central Flower Supplies</v>
      </c>
      <c r="G450" s="22" t="s">
        <v>3585</v>
      </c>
      <c r="H450" s="24" t="s">
        <v>3587</v>
      </c>
      <c r="I450" s="22" t="s">
        <v>3624</v>
      </c>
      <c r="J450" s="5" t="str">
        <f ca="1">IFERROR(__xludf.DUMMYFUNCTION("GOOGLETRANSLATE(G450,""ar"",""en"")"),"flowers")</f>
        <v>flowers</v>
      </c>
      <c r="K450" s="5"/>
      <c r="L450" s="5"/>
      <c r="M450" s="5" t="str">
        <f ca="1">IFERROR(__xludf.DUMMYFUNCTION("GOOGLETRANSLATE(J450,""ar"",""en"")"),"#VALUE!")</f>
        <v>#VALUE!</v>
      </c>
      <c r="N450" s="6" t="s">
        <v>1899</v>
      </c>
      <c r="O450" s="10" t="s">
        <v>1900</v>
      </c>
    </row>
    <row r="451" spans="1:15" ht="20.100000000000001" customHeight="1" thickTop="1" thickBot="1">
      <c r="A451" s="1"/>
      <c r="B451" s="22">
        <v>450</v>
      </c>
      <c r="C451" s="22" t="s">
        <v>1901</v>
      </c>
      <c r="D451" s="22" t="s">
        <v>13</v>
      </c>
      <c r="E451" s="23" t="s">
        <v>1902</v>
      </c>
      <c r="F451" s="22" t="str">
        <f ca="1">IFERROR(__xludf.DUMMYFUNCTION("GOOGLETRANSLATE(E451,""ar"",""en"")"),"Shams Al Walima Company")</f>
        <v>Shams Al Walima Company</v>
      </c>
      <c r="G451" s="22" t="s">
        <v>3585</v>
      </c>
      <c r="H451" s="24" t="s">
        <v>3587</v>
      </c>
      <c r="I451" s="22" t="s">
        <v>3624</v>
      </c>
      <c r="J451" s="5" t="str">
        <f ca="1">IFERROR(__xludf.DUMMYFUNCTION("GOOGLETRANSLATE(G451,""ar"",""en"")"),"flowers")</f>
        <v>flowers</v>
      </c>
      <c r="K451" s="11">
        <v>551340010</v>
      </c>
      <c r="L451" s="11" t="s">
        <v>1903</v>
      </c>
      <c r="M451" s="5" t="str">
        <f ca="1">IFERROR(__xludf.DUMMYFUNCTION("GOOGLETRANSLATE(J451,""ar"",""en"")"),"prince")</f>
        <v>prince</v>
      </c>
      <c r="N451" s="12" t="s">
        <v>1904</v>
      </c>
      <c r="O451" s="10" t="s">
        <v>1905</v>
      </c>
    </row>
    <row r="452" spans="1:15" ht="20.100000000000001" customHeight="1" thickTop="1" thickBot="1">
      <c r="A452" s="1"/>
      <c r="B452" s="22">
        <v>451</v>
      </c>
      <c r="C452" s="22" t="s">
        <v>1906</v>
      </c>
      <c r="D452" s="22" t="s">
        <v>13</v>
      </c>
      <c r="E452" s="22" t="s">
        <v>1907</v>
      </c>
      <c r="F452" s="22" t="str">
        <f ca="1">IFERROR(__xludf.DUMMYFUNCTION("GOOGLETRANSLATE(E452,""ar"",""en"")"),"Sky of the Future Foundation")</f>
        <v>Sky of the Future Foundation</v>
      </c>
      <c r="G452" s="22" t="s">
        <v>3585</v>
      </c>
      <c r="H452" s="24" t="s">
        <v>3587</v>
      </c>
      <c r="I452" s="22" t="s">
        <v>3624</v>
      </c>
      <c r="J452" s="5" t="str">
        <f ca="1">IFERROR(__xludf.DUMMYFUNCTION("GOOGLETRANSLATE(G452,""ar"",""en"")"),"flowers")</f>
        <v>flowers</v>
      </c>
      <c r="K452" s="5">
        <v>570665771</v>
      </c>
      <c r="L452" s="5"/>
      <c r="M452" s="5" t="str">
        <f ca="1">IFERROR(__xludf.DUMMYFUNCTION("GOOGLETRANSLATE(J452,""ar"",""en"")"),"#VALUE!")</f>
        <v>#VALUE!</v>
      </c>
      <c r="N452" s="6" t="s">
        <v>1908</v>
      </c>
      <c r="O452" s="10" t="s">
        <v>1909</v>
      </c>
    </row>
    <row r="453" spans="1:15" ht="20.100000000000001" customHeight="1" thickTop="1" thickBot="1">
      <c r="A453" s="1"/>
      <c r="B453" s="22">
        <v>452</v>
      </c>
      <c r="C453" s="22" t="s">
        <v>1910</v>
      </c>
      <c r="D453" s="22" t="s">
        <v>13</v>
      </c>
      <c r="E453" s="23" t="s">
        <v>1902</v>
      </c>
      <c r="F453" s="22" t="str">
        <f ca="1">IFERROR(__xludf.DUMMYFUNCTION("GOOGLETRANSLATE(E453,""ar"",""en"")"),"Shams Al Walima Company")</f>
        <v>Shams Al Walima Company</v>
      </c>
      <c r="G453" s="22" t="s">
        <v>3585</v>
      </c>
      <c r="H453" s="24" t="s">
        <v>3587</v>
      </c>
      <c r="I453" s="22" t="s">
        <v>3624</v>
      </c>
      <c r="J453" s="5" t="str">
        <f ca="1">IFERROR(__xludf.DUMMYFUNCTION("GOOGLETRANSLATE(G453,""ar"",""en"")"),"flowers")</f>
        <v>flowers</v>
      </c>
      <c r="K453" s="11"/>
      <c r="L453" s="11"/>
      <c r="M453" s="5" t="str">
        <f ca="1">IFERROR(__xludf.DUMMYFUNCTION("GOOGLETRANSLATE(J453,""ar"",""en"")"),"#VALUE!")</f>
        <v>#VALUE!</v>
      </c>
      <c r="N453" s="12" t="s">
        <v>1911</v>
      </c>
      <c r="O453" s="10" t="s">
        <v>1912</v>
      </c>
    </row>
    <row r="454" spans="1:15" ht="20.100000000000001" customHeight="1" thickTop="1" thickBot="1">
      <c r="A454" s="1"/>
      <c r="B454" s="22">
        <v>453</v>
      </c>
      <c r="C454" s="22" t="s">
        <v>1913</v>
      </c>
      <c r="D454" s="22" t="s">
        <v>13</v>
      </c>
      <c r="E454" s="22" t="s">
        <v>1914</v>
      </c>
      <c r="F454" s="22" t="str">
        <f ca="1">IFERROR(__xludf.DUMMYFUNCTION("GOOGLETRANSLATE(E454,""ar"",""en"")"),"Shahd Al-Hara Supplies")</f>
        <v>Shahd Al-Hara Supplies</v>
      </c>
      <c r="G454" s="22" t="s">
        <v>3585</v>
      </c>
      <c r="H454" s="24" t="s">
        <v>3587</v>
      </c>
      <c r="I454" s="22" t="s">
        <v>3624</v>
      </c>
      <c r="J454" s="5" t="str">
        <f ca="1">IFERROR(__xludf.DUMMYFUNCTION("GOOGLETRANSLATE(G454,""ar"",""en"")"),"flowers")</f>
        <v>flowers</v>
      </c>
      <c r="K454" s="5">
        <v>500972446</v>
      </c>
      <c r="L454" s="5" t="s">
        <v>294</v>
      </c>
      <c r="M454" s="5" t="str">
        <f ca="1">IFERROR(__xludf.DUMMYFUNCTION("GOOGLETRANSLATE(J454,""ar"",""en"")"),"Mohammed")</f>
        <v>Mohammed</v>
      </c>
      <c r="N454" s="6" t="s">
        <v>1915</v>
      </c>
      <c r="O454" s="10" t="s">
        <v>1916</v>
      </c>
    </row>
    <row r="455" spans="1:15" ht="20.100000000000001" customHeight="1" thickTop="1" thickBot="1">
      <c r="A455" s="1"/>
      <c r="B455" s="22">
        <v>454</v>
      </c>
      <c r="C455" s="22" t="s">
        <v>1917</v>
      </c>
      <c r="D455" s="22" t="s">
        <v>13</v>
      </c>
      <c r="E455" s="23" t="s">
        <v>1918</v>
      </c>
      <c r="F455" s="22" t="str">
        <f ca="1">IFERROR(__xludf.DUMMYFUNCTION("GOOGLETRANSLATE(E455,""ar"",""en"")"),"Ansari")</f>
        <v>Ansari</v>
      </c>
      <c r="G455" s="22" t="s">
        <v>3585</v>
      </c>
      <c r="H455" s="24" t="s">
        <v>3587</v>
      </c>
      <c r="I455" s="22" t="s">
        <v>3624</v>
      </c>
      <c r="J455" s="5" t="str">
        <f ca="1">IFERROR(__xludf.DUMMYFUNCTION("GOOGLETRANSLATE(G455,""ar"",""en"")"),"flowers")</f>
        <v>flowers</v>
      </c>
      <c r="K455" s="11">
        <v>505764855</v>
      </c>
      <c r="L455" s="11" t="s">
        <v>1919</v>
      </c>
      <c r="M455" s="5" t="str">
        <f ca="1">IFERROR(__xludf.DUMMYFUNCTION("GOOGLETRANSLATE(J455,""ar"",""en"")"),"Muhammad Taha")</f>
        <v>Muhammad Taha</v>
      </c>
      <c r="N455" s="12" t="s">
        <v>1920</v>
      </c>
      <c r="O455" s="10" t="s">
        <v>1921</v>
      </c>
    </row>
    <row r="456" spans="1:15" ht="20.100000000000001" customHeight="1" thickTop="1" thickBot="1">
      <c r="A456" s="1"/>
      <c r="B456" s="22">
        <v>455</v>
      </c>
      <c r="C456" s="22" t="s">
        <v>1922</v>
      </c>
      <c r="D456" s="22" t="s">
        <v>13</v>
      </c>
      <c r="E456" s="22" t="s">
        <v>1923</v>
      </c>
      <c r="F456" s="22" t="str">
        <f ca="1">IFERROR(__xludf.DUMMYFUNCTION("GOOGLETRANSLATE(E456,""ar"",""en"")"),"Food storage corner")</f>
        <v>Food storage corner</v>
      </c>
      <c r="G456" s="22" t="s">
        <v>3585</v>
      </c>
      <c r="H456" s="24" t="s">
        <v>3587</v>
      </c>
      <c r="I456" s="22" t="s">
        <v>3624</v>
      </c>
      <c r="J456" s="5" t="str">
        <f ca="1">IFERROR(__xludf.DUMMYFUNCTION("GOOGLETRANSLATE(G456,""ar"",""en"")"),"flowers")</f>
        <v>flowers</v>
      </c>
      <c r="K456" s="5">
        <v>504365345</v>
      </c>
      <c r="L456" s="5"/>
      <c r="M456" s="5" t="str">
        <f ca="1">IFERROR(__xludf.DUMMYFUNCTION("GOOGLETRANSLATE(J456,""ar"",""en"")"),"#VALUE!")</f>
        <v>#VALUE!</v>
      </c>
      <c r="N456" s="6" t="s">
        <v>1924</v>
      </c>
      <c r="O456" s="10" t="s">
        <v>1925</v>
      </c>
    </row>
    <row r="457" spans="1:15" ht="20.100000000000001" customHeight="1" thickTop="1" thickBot="1">
      <c r="A457" s="1"/>
      <c r="B457" s="22">
        <v>456</v>
      </c>
      <c r="C457" s="22" t="s">
        <v>1926</v>
      </c>
      <c r="D457" s="22" t="s">
        <v>13</v>
      </c>
      <c r="E457" s="23" t="s">
        <v>1927</v>
      </c>
      <c r="F457" s="22" t="str">
        <f ca="1">IFERROR(__xludf.DUMMYFUNCTION("GOOGLETRANSLATE(E457,""ar"",""en"")"),"Golden Diamond Supplies")</f>
        <v>Golden Diamond Supplies</v>
      </c>
      <c r="G457" s="22" t="s">
        <v>3585</v>
      </c>
      <c r="H457" s="24" t="s">
        <v>3587</v>
      </c>
      <c r="I457" s="23" t="s">
        <v>3656</v>
      </c>
      <c r="J457" s="5" t="str">
        <f ca="1">IFERROR(__xludf.DUMMYFUNCTION("GOOGLETRANSLATE(G457,""ar"",""en"")"),"The beach")</f>
        <v>The beach</v>
      </c>
      <c r="K457" s="11">
        <v>555901303</v>
      </c>
      <c r="L457" s="11" t="s">
        <v>1619</v>
      </c>
      <c r="M457" s="5" t="str">
        <f ca="1">IFERROR(__xludf.DUMMYFUNCTION("GOOGLETRANSLATE(J457,""ar"",""en"")"),"Abu Muhammad")</f>
        <v>Abu Muhammad</v>
      </c>
      <c r="N457" s="12" t="s">
        <v>1928</v>
      </c>
      <c r="O457" s="10" t="s">
        <v>1929</v>
      </c>
    </row>
    <row r="458" spans="1:15" ht="20.100000000000001" customHeight="1" thickTop="1" thickBot="1">
      <c r="A458" s="1"/>
      <c r="B458" s="22">
        <v>457</v>
      </c>
      <c r="C458" s="22" t="s">
        <v>1930</v>
      </c>
      <c r="D458" s="22" t="s">
        <v>13</v>
      </c>
      <c r="E458" s="22" t="s">
        <v>1931</v>
      </c>
      <c r="F458" s="22" t="str">
        <f ca="1">IFERROR(__xludf.DUMMYFUNCTION("GOOGLETRANSLATE(E458,""ar"",""en"")"),"Noor Supermarket")</f>
        <v>Noor Supermarket</v>
      </c>
      <c r="G458" s="22" t="s">
        <v>3585</v>
      </c>
      <c r="H458" s="24" t="s">
        <v>3587</v>
      </c>
      <c r="I458" s="23" t="s">
        <v>3656</v>
      </c>
      <c r="J458" s="5" t="str">
        <f ca="1">IFERROR(__xludf.DUMMYFUNCTION("GOOGLETRANSLATE(G458,""ar"",""en"")"),"Beach District")</f>
        <v>Beach District</v>
      </c>
      <c r="K458" s="5"/>
      <c r="L458" s="5"/>
      <c r="M458" s="5" t="str">
        <f ca="1">IFERROR(__xludf.DUMMYFUNCTION("GOOGLETRANSLATE(J458,""ar"",""en"")"),"#VALUE!")</f>
        <v>#VALUE!</v>
      </c>
      <c r="N458" s="6" t="s">
        <v>1932</v>
      </c>
      <c r="O458" s="10" t="s">
        <v>1933</v>
      </c>
    </row>
    <row r="459" spans="1:15" ht="20.100000000000001" customHeight="1" thickTop="1" thickBot="1">
      <c r="A459" s="1"/>
      <c r="B459" s="22">
        <v>458</v>
      </c>
      <c r="C459" s="22" t="s">
        <v>1934</v>
      </c>
      <c r="D459" s="22" t="s">
        <v>13</v>
      </c>
      <c r="E459" s="23" t="s">
        <v>1886</v>
      </c>
      <c r="F459" s="22" t="str">
        <f ca="1">IFERROR(__xludf.DUMMYFUNCTION("GOOGLETRANSLATE(E459,""ar"",""en"")"),"Dammam Peace")</f>
        <v>Dammam Peace</v>
      </c>
      <c r="G459" s="22" t="s">
        <v>3585</v>
      </c>
      <c r="H459" s="24" t="s">
        <v>3587</v>
      </c>
      <c r="I459" s="23" t="s">
        <v>3651</v>
      </c>
      <c r="J459" s="5" t="str">
        <f ca="1">IFERROR(__xludf.DUMMYFUNCTION("GOOGLETRANSLATE(G459,""ar"",""en"")"),"peace")</f>
        <v>peace</v>
      </c>
      <c r="K459" s="11">
        <v>505764855</v>
      </c>
      <c r="L459" s="11" t="s">
        <v>1919</v>
      </c>
      <c r="M459" s="5" t="str">
        <f ca="1">IFERROR(__xludf.DUMMYFUNCTION("GOOGLETRANSLATE(J459,""ar"",""en"")"),"Muhammad Taha")</f>
        <v>Muhammad Taha</v>
      </c>
      <c r="N459" s="12" t="s">
        <v>1935</v>
      </c>
      <c r="O459" s="10" t="s">
        <v>1936</v>
      </c>
    </row>
    <row r="460" spans="1:15" ht="20.100000000000001" customHeight="1" thickTop="1" thickBot="1">
      <c r="A460" s="1"/>
      <c r="B460" s="22">
        <v>459</v>
      </c>
      <c r="C460" s="22" t="s">
        <v>1937</v>
      </c>
      <c r="D460" s="22" t="s">
        <v>13</v>
      </c>
      <c r="E460" s="22" t="s">
        <v>1938</v>
      </c>
      <c r="F460" s="22" t="str">
        <f ca="1">IFERROR(__xludf.DUMMYFUNCTION("GOOGLETRANSLATE(E460,""ar"",""en"")"),"Summit Consumer Supplies")</f>
        <v>Summit Consumer Supplies</v>
      </c>
      <c r="G460" s="22" t="s">
        <v>3585</v>
      </c>
      <c r="H460" s="24" t="s">
        <v>3587</v>
      </c>
      <c r="I460" s="23" t="s">
        <v>3651</v>
      </c>
      <c r="J460" s="5" t="str">
        <f ca="1">IFERROR(__xludf.DUMMYFUNCTION("GOOGLETRANSLATE(G460,""ar"",""en"")"),"peace")</f>
        <v>peace</v>
      </c>
      <c r="K460" s="5">
        <v>597712425</v>
      </c>
      <c r="L460" s="5" t="s">
        <v>1939</v>
      </c>
      <c r="M460" s="5" t="str">
        <f ca="1">IFERROR(__xludf.DUMMYFUNCTION("GOOGLETRANSLATE(J460,""ar"",""en"")"),"Abdulaziz")</f>
        <v>Abdulaziz</v>
      </c>
      <c r="N460" s="6" t="s">
        <v>1940</v>
      </c>
      <c r="O460" s="10" t="s">
        <v>1941</v>
      </c>
    </row>
    <row r="461" spans="1:15" ht="20.100000000000001" customHeight="1" thickTop="1" thickBot="1">
      <c r="A461" s="1"/>
      <c r="B461" s="22">
        <v>460</v>
      </c>
      <c r="C461" s="22" t="s">
        <v>1942</v>
      </c>
      <c r="D461" s="22" t="s">
        <v>13</v>
      </c>
      <c r="E461" s="23" t="s">
        <v>1943</v>
      </c>
      <c r="F461" s="22" t="str">
        <f ca="1">IFERROR(__xludf.DUMMYFUNCTION("GOOGLETRANSLATE(E461,""ar"",""en"")"),"Rawai'e Consumer Supplies")</f>
        <v>Rawai'e Consumer Supplies</v>
      </c>
      <c r="G461" s="22" t="s">
        <v>3585</v>
      </c>
      <c r="H461" s="24" t="s">
        <v>3587</v>
      </c>
      <c r="I461" s="23" t="s">
        <v>3651</v>
      </c>
      <c r="J461" s="5" t="str">
        <f ca="1">IFERROR(__xludf.DUMMYFUNCTION("GOOGLETRANSLATE(G461,""ar"",""en"")"),"peace")</f>
        <v>peace</v>
      </c>
      <c r="K461" s="11">
        <v>575895733</v>
      </c>
      <c r="L461" s="11" t="s">
        <v>1944</v>
      </c>
      <c r="M461" s="5" t="str">
        <f ca="1">IFERROR(__xludf.DUMMYFUNCTION("GOOGLETRANSLATE(J461,""ar"",""en"")"),"Salah al-Din Taha")</f>
        <v>Salah al-Din Taha</v>
      </c>
      <c r="N461" s="12" t="s">
        <v>1945</v>
      </c>
      <c r="O461" s="10" t="s">
        <v>1946</v>
      </c>
    </row>
    <row r="462" spans="1:15" ht="20.100000000000001" customHeight="1" thickTop="1" thickBot="1">
      <c r="A462" s="1"/>
      <c r="B462" s="22">
        <v>461</v>
      </c>
      <c r="C462" s="22" t="s">
        <v>1947</v>
      </c>
      <c r="D462" s="22" t="s">
        <v>13</v>
      </c>
      <c r="E462" s="22" t="s">
        <v>1948</v>
      </c>
      <c r="F462" s="22" t="str">
        <f ca="1">IFERROR(__xludf.DUMMYFUNCTION("GOOGLETRANSLATE(E462,""ar"",""en"")"),"Consumer Lights Supplies")</f>
        <v>Consumer Lights Supplies</v>
      </c>
      <c r="G462" s="22" t="s">
        <v>3585</v>
      </c>
      <c r="H462" s="24" t="s">
        <v>3587</v>
      </c>
      <c r="I462" s="23" t="s">
        <v>3651</v>
      </c>
      <c r="J462" s="5" t="str">
        <f ca="1">IFERROR(__xludf.DUMMYFUNCTION("GOOGLETRANSLATE(G462,""ar"",""en"")"),"peace")</f>
        <v>peace</v>
      </c>
      <c r="K462" s="5">
        <v>570893981</v>
      </c>
      <c r="L462" s="5"/>
      <c r="M462" s="5" t="str">
        <f ca="1">IFERROR(__xludf.DUMMYFUNCTION("GOOGLETRANSLATE(J462,""ar"",""en"")"),"#VALUE!")</f>
        <v>#VALUE!</v>
      </c>
      <c r="N462" s="6" t="s">
        <v>1949</v>
      </c>
      <c r="O462" s="10" t="s">
        <v>1950</v>
      </c>
    </row>
    <row r="463" spans="1:15" ht="20.100000000000001" customHeight="1" thickTop="1" thickBot="1">
      <c r="A463" s="1"/>
      <c r="B463" s="22">
        <v>462</v>
      </c>
      <c r="C463" s="22" t="s">
        <v>1951</v>
      </c>
      <c r="D463" s="22" t="s">
        <v>13</v>
      </c>
      <c r="E463" s="23" t="s">
        <v>1952</v>
      </c>
      <c r="F463" s="22" t="str">
        <f ca="1">IFERROR(__xludf.DUMMYFUNCTION("GOOGLETRANSLATE(E463,""ar"",""en"")"),"Noor Supplies")</f>
        <v>Noor Supplies</v>
      </c>
      <c r="G463" s="22" t="s">
        <v>3585</v>
      </c>
      <c r="H463" s="24" t="s">
        <v>3587</v>
      </c>
      <c r="I463" s="23" t="s">
        <v>3651</v>
      </c>
      <c r="J463" s="5" t="str">
        <f ca="1">IFERROR(__xludf.DUMMYFUNCTION("GOOGLETRANSLATE(G463,""ar"",""en"")"),"peace")</f>
        <v>peace</v>
      </c>
      <c r="K463" s="11">
        <v>558261110</v>
      </c>
      <c r="L463" s="11" t="s">
        <v>1953</v>
      </c>
      <c r="M463" s="5" t="str">
        <f ca="1">IFERROR(__xludf.DUMMYFUNCTION("GOOGLETRANSLATE(J463,""ar"",""en"")"),"Abu Turki")</f>
        <v>Abu Turki</v>
      </c>
      <c r="N463" s="12" t="s">
        <v>1954</v>
      </c>
      <c r="O463" s="10" t="s">
        <v>1955</v>
      </c>
    </row>
    <row r="464" spans="1:15" ht="20.100000000000001" customHeight="1" thickTop="1" thickBot="1">
      <c r="A464" s="1"/>
      <c r="B464" s="22">
        <v>463</v>
      </c>
      <c r="C464" s="22" t="s">
        <v>1956</v>
      </c>
      <c r="D464" s="22" t="s">
        <v>13</v>
      </c>
      <c r="E464" s="22" t="s">
        <v>1957</v>
      </c>
      <c r="F464" s="22" t="str">
        <f ca="1">IFERROR(__xludf.DUMMYFUNCTION("GOOGLETRANSLATE(E464,""ar"",""en"")"),"Telal Al Deera Foundation")</f>
        <v>Telal Al Deera Foundation</v>
      </c>
      <c r="G464" s="22" t="s">
        <v>3585</v>
      </c>
      <c r="H464" s="24" t="s">
        <v>3587</v>
      </c>
      <c r="I464" s="22" t="s">
        <v>3635</v>
      </c>
      <c r="J464" s="5" t="str">
        <f ca="1">IFERROR(__xludf.DUMMYFUNCTION("GOOGLETRANSLATE(G464,""ar"",""en"")"),"The wondrous")</f>
        <v>The wondrous</v>
      </c>
      <c r="K464" s="5">
        <v>568662070</v>
      </c>
      <c r="L464" s="5"/>
      <c r="M464" s="5" t="str">
        <f ca="1">IFERROR(__xludf.DUMMYFUNCTION("GOOGLETRANSLATE(J464,""ar"",""en"")"),"#VALUE!")</f>
        <v>#VALUE!</v>
      </c>
      <c r="N464" s="6" t="s">
        <v>1958</v>
      </c>
      <c r="O464" s="10" t="s">
        <v>1959</v>
      </c>
    </row>
    <row r="465" spans="1:15" ht="20.100000000000001" customHeight="1" thickTop="1" thickBot="1">
      <c r="A465" s="1"/>
      <c r="B465" s="22">
        <v>464</v>
      </c>
      <c r="C465" s="22" t="s">
        <v>1960</v>
      </c>
      <c r="D465" s="22" t="s">
        <v>13</v>
      </c>
      <c r="E465" s="23" t="s">
        <v>1961</v>
      </c>
      <c r="F465" s="22" t="str">
        <f ca="1">IFERROR(__xludf.DUMMYFUNCTION("GOOGLETRANSLATE(E465,""ar"",""en"")"),"Abu Elias")</f>
        <v>Abu Elias</v>
      </c>
      <c r="G465" s="22" t="s">
        <v>3585</v>
      </c>
      <c r="H465" s="24" t="s">
        <v>3587</v>
      </c>
      <c r="I465" s="23" t="s">
        <v>3635</v>
      </c>
      <c r="J465" s="5" t="str">
        <f ca="1">IFERROR(__xludf.DUMMYFUNCTION("GOOGLETRANSLATE(G465,""ar"",""en"")"),"#VALUE!")</f>
        <v>#VALUE!</v>
      </c>
      <c r="K465" s="11">
        <v>530594611</v>
      </c>
      <c r="L465" s="11"/>
      <c r="M465" s="5" t="str">
        <f ca="1">IFERROR(__xludf.DUMMYFUNCTION("GOOGLETRANSLATE(J465,""ar"",""en"")"),"#VALUE!")</f>
        <v>#VALUE!</v>
      </c>
      <c r="N465" s="12" t="s">
        <v>1962</v>
      </c>
      <c r="O465" s="10" t="s">
        <v>1963</v>
      </c>
    </row>
    <row r="466" spans="1:15" ht="20.100000000000001" customHeight="1" thickTop="1" thickBot="1">
      <c r="A466" s="1"/>
      <c r="B466" s="22">
        <v>465</v>
      </c>
      <c r="C466" s="22" t="s">
        <v>1964</v>
      </c>
      <c r="D466" s="22" t="s">
        <v>13</v>
      </c>
      <c r="E466" s="22" t="s">
        <v>1965</v>
      </c>
      <c r="F466" s="22" t="str">
        <f ca="1">IFERROR(__xludf.DUMMYFUNCTION("GOOGLETRANSLATE(E466,""ar"",""en"")"),"Spring Candle Supplies")</f>
        <v>Spring Candle Supplies</v>
      </c>
      <c r="G466" s="22" t="s">
        <v>3585</v>
      </c>
      <c r="H466" s="24" t="s">
        <v>3587</v>
      </c>
      <c r="I466" s="22" t="s">
        <v>3635</v>
      </c>
      <c r="J466" s="5" t="str">
        <f ca="1">IFERROR(__xludf.DUMMYFUNCTION("GOOGLETRANSLATE(G466,""ar"",""en"")"),"The wondrous")</f>
        <v>The wondrous</v>
      </c>
      <c r="K466" s="5">
        <v>502728472</v>
      </c>
      <c r="L466" s="5" t="s">
        <v>1619</v>
      </c>
      <c r="M466" s="5" t="str">
        <f ca="1">IFERROR(__xludf.DUMMYFUNCTION("GOOGLETRANSLATE(J466,""ar"",""en"")"),"Abu Muhammad")</f>
        <v>Abu Muhammad</v>
      </c>
      <c r="N466" s="6" t="s">
        <v>1966</v>
      </c>
      <c r="O466" s="10" t="s">
        <v>1967</v>
      </c>
    </row>
    <row r="467" spans="1:15" ht="20.100000000000001" customHeight="1" thickTop="1" thickBot="1">
      <c r="A467" s="1"/>
      <c r="B467" s="22">
        <v>466</v>
      </c>
      <c r="C467" s="22" t="s">
        <v>1968</v>
      </c>
      <c r="D467" s="22" t="s">
        <v>13</v>
      </c>
      <c r="E467" s="23" t="s">
        <v>1902</v>
      </c>
      <c r="F467" s="22" t="str">
        <f ca="1">IFERROR(__xludf.DUMMYFUNCTION("GOOGLETRANSLATE(E467,""ar"",""en"")"),"Shams Al Walima Company")</f>
        <v>Shams Al Walima Company</v>
      </c>
      <c r="G467" s="22" t="s">
        <v>3585</v>
      </c>
      <c r="H467" s="24" t="s">
        <v>3587</v>
      </c>
      <c r="I467" s="22" t="s">
        <v>3635</v>
      </c>
      <c r="J467" s="5" t="str">
        <f ca="1">IFERROR(__xludf.DUMMYFUNCTION("GOOGLETRANSLATE(G467,""ar"",""en"")"),"The wondrous")</f>
        <v>The wondrous</v>
      </c>
      <c r="K467" s="11">
        <v>542943233</v>
      </c>
      <c r="L467" s="11"/>
      <c r="M467" s="5" t="str">
        <f ca="1">IFERROR(__xludf.DUMMYFUNCTION("GOOGLETRANSLATE(J467,""ar"",""en"")"),"#VALUE!")</f>
        <v>#VALUE!</v>
      </c>
      <c r="N467" s="12" t="s">
        <v>1969</v>
      </c>
      <c r="O467" s="10" t="s">
        <v>1970</v>
      </c>
    </row>
    <row r="468" spans="1:15" ht="20.100000000000001" customHeight="1" thickTop="1" thickBot="1">
      <c r="A468" s="1"/>
      <c r="B468" s="22">
        <v>467</v>
      </c>
      <c r="C468" s="22" t="s">
        <v>1971</v>
      </c>
      <c r="D468" s="22" t="s">
        <v>13</v>
      </c>
      <c r="E468" s="22" t="s">
        <v>1972</v>
      </c>
      <c r="F468" s="22" t="str">
        <f ca="1">IFERROR(__xludf.DUMMYFUNCTION("GOOGLETRANSLATE(E468,""ar"",""en"")"),"Sahab Al-Yusr Grocery")</f>
        <v>Sahab Al-Yusr Grocery</v>
      </c>
      <c r="G468" s="22" t="s">
        <v>3585</v>
      </c>
      <c r="H468" s="24" t="s">
        <v>3587</v>
      </c>
      <c r="I468" s="22" t="s">
        <v>3635</v>
      </c>
      <c r="J468" s="5" t="str">
        <f ca="1">IFERROR(__xludf.DUMMYFUNCTION("GOOGLETRANSLATE(G468,""ar"",""en"")"),"The wondrous")</f>
        <v>The wondrous</v>
      </c>
      <c r="K468" s="5">
        <v>549515941</v>
      </c>
      <c r="L468" s="5"/>
      <c r="M468" s="5" t="str">
        <f ca="1">IFERROR(__xludf.DUMMYFUNCTION("GOOGLETRANSLATE(J468,""ar"",""en"")"),"#VALUE!")</f>
        <v>#VALUE!</v>
      </c>
      <c r="N468" s="6" t="s">
        <v>1973</v>
      </c>
      <c r="O468" s="10" t="s">
        <v>1974</v>
      </c>
    </row>
    <row r="469" spans="1:15" ht="20.100000000000001" customHeight="1" thickTop="1" thickBot="1">
      <c r="A469" s="1"/>
      <c r="B469" s="22">
        <v>468</v>
      </c>
      <c r="C469" s="22" t="s">
        <v>1975</v>
      </c>
      <c r="D469" s="22" t="s">
        <v>13</v>
      </c>
      <c r="E469" s="23" t="s">
        <v>1976</v>
      </c>
      <c r="F469" s="22" t="str">
        <f ca="1">IFERROR(__xludf.DUMMYFUNCTION("GOOGLETRANSLATE(E469,""ar"",""en"")"),"Bright Corner Foundation")</f>
        <v>Bright Corner Foundation</v>
      </c>
      <c r="G469" s="22" t="s">
        <v>3585</v>
      </c>
      <c r="H469" s="24" t="s">
        <v>3587</v>
      </c>
      <c r="I469" s="22" t="s">
        <v>3635</v>
      </c>
      <c r="J469" s="5" t="str">
        <f ca="1">IFERROR(__xludf.DUMMYFUNCTION("GOOGLETRANSLATE(G469,""ar"",""en"")"),"The wondrous")</f>
        <v>The wondrous</v>
      </c>
      <c r="K469" s="11">
        <v>599600293</v>
      </c>
      <c r="L469" s="11" t="s">
        <v>1977</v>
      </c>
      <c r="M469" s="5" t="str">
        <f ca="1">IFERROR(__xludf.DUMMYFUNCTION("GOOGLETRANSLATE(J469,""ar"",""en"")"),"Abu Hassan")</f>
        <v>Abu Hassan</v>
      </c>
      <c r="N469" s="12" t="s">
        <v>1978</v>
      </c>
      <c r="O469" s="10" t="s">
        <v>1979</v>
      </c>
    </row>
    <row r="470" spans="1:15" ht="20.100000000000001" customHeight="1" thickTop="1" thickBot="1">
      <c r="A470" s="1"/>
      <c r="B470" s="22">
        <v>469</v>
      </c>
      <c r="C470" s="22" t="s">
        <v>1980</v>
      </c>
      <c r="D470" s="22" t="s">
        <v>13</v>
      </c>
      <c r="E470" s="22" t="s">
        <v>1981</v>
      </c>
      <c r="F470" s="22" t="str">
        <f ca="1">IFERROR(__xludf.DUMMYFUNCTION("GOOGLETRANSLATE(E470,""ar"",""en"")"),"Mosaed Al-Saud Grocery")</f>
        <v>Mosaed Al-Saud Grocery</v>
      </c>
      <c r="G470" s="22" t="s">
        <v>3585</v>
      </c>
      <c r="H470" s="24" t="s">
        <v>3587</v>
      </c>
      <c r="I470" s="22" t="s">
        <v>3635</v>
      </c>
      <c r="J470" s="5" t="str">
        <f ca="1">IFERROR(__xludf.DUMMYFUNCTION("GOOGLETRANSLATE(G470,""ar"",""en"")"),"The wondrous")</f>
        <v>The wondrous</v>
      </c>
      <c r="K470" s="5">
        <v>575681252</v>
      </c>
      <c r="L470" s="5" t="s">
        <v>1982</v>
      </c>
      <c r="M470" s="5" t="str">
        <f ca="1">IFERROR(__xludf.DUMMYFUNCTION("GOOGLETRANSLATE(J470,""ar"",""en"")"),"genuine")</f>
        <v>genuine</v>
      </c>
      <c r="N470" s="6" t="s">
        <v>1983</v>
      </c>
      <c r="O470" s="10" t="s">
        <v>1984</v>
      </c>
    </row>
    <row r="471" spans="1:15" ht="20.100000000000001" customHeight="1" thickTop="1" thickBot="1">
      <c r="A471" s="1"/>
      <c r="B471" s="22">
        <v>470</v>
      </c>
      <c r="C471" s="22" t="s">
        <v>1985</v>
      </c>
      <c r="D471" s="22" t="s">
        <v>13</v>
      </c>
      <c r="E471" s="23" t="s">
        <v>1986</v>
      </c>
      <c r="F471" s="22" t="str">
        <f ca="1">IFERROR(__xludf.DUMMYFUNCTION("GOOGLETRANSLATE(E471,""ar"",""en"")"),"Wali Store Grocery")</f>
        <v>Wali Store Grocery</v>
      </c>
      <c r="G471" s="22" t="s">
        <v>3585</v>
      </c>
      <c r="H471" s="24" t="s">
        <v>3587</v>
      </c>
      <c r="I471" s="22" t="s">
        <v>3635</v>
      </c>
      <c r="J471" s="5" t="str">
        <f ca="1">IFERROR(__xludf.DUMMYFUNCTION("GOOGLETRANSLATE(G471,""ar"",""en"")"),"The wondrous")</f>
        <v>The wondrous</v>
      </c>
      <c r="K471" s="11"/>
      <c r="L471" s="11"/>
      <c r="M471" s="5" t="str">
        <f ca="1">IFERROR(__xludf.DUMMYFUNCTION("GOOGLETRANSLATE(J471,""ar"",""en"")"),"#VALUE!")</f>
        <v>#VALUE!</v>
      </c>
      <c r="N471" s="12" t="s">
        <v>1987</v>
      </c>
      <c r="O471" s="10" t="s">
        <v>1988</v>
      </c>
    </row>
    <row r="472" spans="1:15" ht="20.100000000000001" customHeight="1" thickTop="1" thickBot="1">
      <c r="A472" s="1"/>
      <c r="B472" s="22">
        <v>471</v>
      </c>
      <c r="C472" s="22" t="s">
        <v>1989</v>
      </c>
      <c r="D472" s="22" t="s">
        <v>13</v>
      </c>
      <c r="E472" s="22" t="s">
        <v>805</v>
      </c>
      <c r="F472" s="22" t="str">
        <f ca="1">IFERROR(__xludf.DUMMYFUNCTION("GOOGLETRANSLATE(E472,""ar"",""en"")"),"Azm Market")</f>
        <v>Azm Market</v>
      </c>
      <c r="G472" s="22" t="s">
        <v>3585</v>
      </c>
      <c r="H472" s="24" t="s">
        <v>3587</v>
      </c>
      <c r="I472" s="22" t="s">
        <v>3635</v>
      </c>
      <c r="J472" s="5" t="str">
        <f ca="1">IFERROR(__xludf.DUMMYFUNCTION("GOOGLETRANSLATE(G472,""ar"",""en"")"),"The wondrous")</f>
        <v>The wondrous</v>
      </c>
      <c r="K472" s="5">
        <v>532502170</v>
      </c>
      <c r="L472" s="5"/>
      <c r="M472" s="5" t="str">
        <f ca="1">IFERROR(__xludf.DUMMYFUNCTION("GOOGLETRANSLATE(J472,""ar"",""en"")"),"#VALUE!")</f>
        <v>#VALUE!</v>
      </c>
      <c r="N472" s="6" t="s">
        <v>1990</v>
      </c>
      <c r="O472" s="10" t="s">
        <v>1991</v>
      </c>
    </row>
    <row r="473" spans="1:15" ht="20.100000000000001" customHeight="1" thickTop="1" thickBot="1">
      <c r="A473" s="1"/>
      <c r="B473" s="22">
        <v>472</v>
      </c>
      <c r="C473" s="22" t="s">
        <v>1992</v>
      </c>
      <c r="D473" s="22" t="s">
        <v>13</v>
      </c>
      <c r="E473" s="23" t="s">
        <v>1993</v>
      </c>
      <c r="F473" s="22" t="str">
        <f ca="1">IFERROR(__xludf.DUMMYFUNCTION("GOOGLETRANSLATE(E473,""ar"",""en"")"),"Seagull Roses Grocery")</f>
        <v>Seagull Roses Grocery</v>
      </c>
      <c r="G473" s="22" t="s">
        <v>3585</v>
      </c>
      <c r="H473" s="24" t="s">
        <v>3587</v>
      </c>
      <c r="I473" s="23" t="s">
        <v>3648</v>
      </c>
      <c r="J473" s="5" t="str">
        <f ca="1">IFERROR(__xludf.DUMMYFUNCTION("GOOGLETRANSLATE(G473,""ar"",""en"")"),"Seagull")</f>
        <v>Seagull</v>
      </c>
      <c r="K473" s="11">
        <v>553232823</v>
      </c>
      <c r="L473" s="11"/>
      <c r="M473" s="5" t="str">
        <f ca="1">IFERROR(__xludf.DUMMYFUNCTION("GOOGLETRANSLATE(J473,""ar"",""en"")"),"#VALUE!")</f>
        <v>#VALUE!</v>
      </c>
      <c r="N473" s="12" t="s">
        <v>1994</v>
      </c>
      <c r="O473" s="10" t="s">
        <v>1995</v>
      </c>
    </row>
    <row r="474" spans="1:15" ht="20.100000000000001" customHeight="1" thickTop="1" thickBot="1">
      <c r="A474" s="1"/>
      <c r="B474" s="22">
        <v>473</v>
      </c>
      <c r="C474" s="22" t="s">
        <v>1996</v>
      </c>
      <c r="D474" s="22" t="s">
        <v>13</v>
      </c>
      <c r="E474" s="22" t="s">
        <v>1997</v>
      </c>
      <c r="F474" s="22" t="str">
        <f ca="1">IFERROR(__xludf.DUMMYFUNCTION("GOOGLETRANSLATE(E474,""ar"",""en"")"),"Dana Bridge Supplies")</f>
        <v>Dana Bridge Supplies</v>
      </c>
      <c r="G474" s="22" t="s">
        <v>3585</v>
      </c>
      <c r="H474" s="24" t="s">
        <v>3587</v>
      </c>
      <c r="I474" s="23" t="s">
        <v>3648</v>
      </c>
      <c r="J474" s="5" t="str">
        <f ca="1">IFERROR(__xludf.DUMMYFUNCTION("GOOGLETRANSLATE(G474,""ar"",""en"")"),"Seagull")</f>
        <v>Seagull</v>
      </c>
      <c r="K474" s="5">
        <v>531224362</v>
      </c>
      <c r="L474" s="5"/>
      <c r="M474" s="5" t="str">
        <f ca="1">IFERROR(__xludf.DUMMYFUNCTION("GOOGLETRANSLATE(J474,""ar"",""en"")"),"#VALUE!")</f>
        <v>#VALUE!</v>
      </c>
      <c r="N474" s="6" t="s">
        <v>1998</v>
      </c>
      <c r="O474" s="10" t="s">
        <v>1999</v>
      </c>
    </row>
    <row r="475" spans="1:15" ht="20.100000000000001" customHeight="1" thickTop="1" thickBot="1">
      <c r="A475" s="1"/>
      <c r="B475" s="22">
        <v>474</v>
      </c>
      <c r="C475" s="22" t="s">
        <v>2000</v>
      </c>
      <c r="D475" s="22" t="s">
        <v>13</v>
      </c>
      <c r="E475" s="23" t="s">
        <v>2001</v>
      </c>
      <c r="F475" s="22" t="str">
        <f ca="1">IFERROR(__xludf.DUMMYFUNCTION("GOOGLETRANSLATE(E475,""ar"",""en"")"),"3D")</f>
        <v>3D</v>
      </c>
      <c r="G475" s="22" t="s">
        <v>3585</v>
      </c>
      <c r="H475" s="24" t="s">
        <v>3587</v>
      </c>
      <c r="I475" s="23" t="s">
        <v>3648</v>
      </c>
      <c r="J475" s="5" t="str">
        <f ca="1">IFERROR(__xludf.DUMMYFUNCTION("GOOGLETRANSLATE(G475,""ar"",""en"")"),"Seagull")</f>
        <v>Seagull</v>
      </c>
      <c r="K475" s="11"/>
      <c r="L475" s="11"/>
      <c r="M475" s="5" t="str">
        <f ca="1">IFERROR(__xludf.DUMMYFUNCTION("GOOGLETRANSLATE(J475,""ar"",""en"")"),"#VALUE!")</f>
        <v>#VALUE!</v>
      </c>
      <c r="N475" s="12" t="s">
        <v>2002</v>
      </c>
      <c r="O475" s="10" t="s">
        <v>2003</v>
      </c>
    </row>
    <row r="476" spans="1:15" ht="20.100000000000001" customHeight="1" thickTop="1" thickBot="1">
      <c r="A476" s="1"/>
      <c r="B476" s="22">
        <v>475</v>
      </c>
      <c r="C476" s="22" t="s">
        <v>2004</v>
      </c>
      <c r="D476" s="22" t="s">
        <v>13</v>
      </c>
      <c r="E476" s="22" t="s">
        <v>2005</v>
      </c>
      <c r="F476" s="22" t="str">
        <f ca="1">IFERROR(__xludf.DUMMYFUNCTION("GOOGLETRANSLATE(E476,""ar"",""en"")"),"Al-Hadra Supplies")</f>
        <v>Al-Hadra Supplies</v>
      </c>
      <c r="G476" s="22" t="s">
        <v>3585</v>
      </c>
      <c r="H476" s="24" t="s">
        <v>3587</v>
      </c>
      <c r="I476" s="23" t="s">
        <v>3648</v>
      </c>
      <c r="J476" s="5" t="str">
        <f ca="1">IFERROR(__xludf.DUMMYFUNCTION("GOOGLETRANSLATE(G476,""ar"",""en"")"),"Seagull")</f>
        <v>Seagull</v>
      </c>
      <c r="K476" s="5">
        <v>559007164</v>
      </c>
      <c r="L476" s="5"/>
      <c r="M476" s="5" t="str">
        <f ca="1">IFERROR(__xludf.DUMMYFUNCTION("GOOGLETRANSLATE(J476,""ar"",""en"")"),"#VALUE!")</f>
        <v>#VALUE!</v>
      </c>
      <c r="N476" s="6" t="s">
        <v>2006</v>
      </c>
      <c r="O476" s="10" t="s">
        <v>2007</v>
      </c>
    </row>
    <row r="477" spans="1:15" ht="20.100000000000001" customHeight="1" thickTop="1" thickBot="1">
      <c r="A477" s="1"/>
      <c r="B477" s="22">
        <v>476</v>
      </c>
      <c r="C477" s="22" t="s">
        <v>2008</v>
      </c>
      <c r="D477" s="22" t="s">
        <v>13</v>
      </c>
      <c r="E477" s="23" t="s">
        <v>2009</v>
      </c>
      <c r="F477" s="22" t="str">
        <f ca="1">IFERROR(__xludf.DUMMYFUNCTION("GOOGLETRANSLATE(E477,""ar"",""en"")"),"Khashman Supplies")</f>
        <v>Khashman Supplies</v>
      </c>
      <c r="G477" s="22" t="s">
        <v>3585</v>
      </c>
      <c r="H477" s="24" t="s">
        <v>3587</v>
      </c>
      <c r="I477" s="23" t="s">
        <v>3648</v>
      </c>
      <c r="J477" s="5" t="str">
        <f ca="1">IFERROR(__xludf.DUMMYFUNCTION("GOOGLETRANSLATE(G477,""ar"",""en"")"),"Seagull")</f>
        <v>Seagull</v>
      </c>
      <c r="K477" s="11"/>
      <c r="L477" s="11"/>
      <c r="M477" s="5" t="str">
        <f ca="1">IFERROR(__xludf.DUMMYFUNCTION("GOOGLETRANSLATE(J477,""ar"",""en"")"),"#VALUE!")</f>
        <v>#VALUE!</v>
      </c>
      <c r="N477" s="12" t="s">
        <v>2010</v>
      </c>
      <c r="O477" s="10" t="s">
        <v>2011</v>
      </c>
    </row>
    <row r="478" spans="1:15" ht="20.100000000000001" customHeight="1" thickTop="1" thickBot="1">
      <c r="A478" s="1"/>
      <c r="B478" s="22">
        <v>477</v>
      </c>
      <c r="C478" s="22" t="s">
        <v>2012</v>
      </c>
      <c r="D478" s="22" t="s">
        <v>13</v>
      </c>
      <c r="E478" s="22" t="s">
        <v>2013</v>
      </c>
      <c r="F478" s="22" t="str">
        <f ca="1">IFERROR(__xludf.DUMMYFUNCTION("GOOGLETRANSLATE(E478,""ar"",""en"")"),"Treasures of Patience Grocery")</f>
        <v>Treasures of Patience Grocery</v>
      </c>
      <c r="G478" s="22" t="s">
        <v>3585</v>
      </c>
      <c r="H478" s="24" t="s">
        <v>3587</v>
      </c>
      <c r="I478" s="23" t="s">
        <v>3648</v>
      </c>
      <c r="J478" s="5" t="str">
        <f ca="1">IFERROR(__xludf.DUMMYFUNCTION("GOOGLETRANSLATE(G478,""ar"",""en"")"),"Seagull")</f>
        <v>Seagull</v>
      </c>
      <c r="K478" s="5">
        <v>533128881</v>
      </c>
      <c r="L478" s="5" t="s">
        <v>2014</v>
      </c>
      <c r="M478" s="5" t="str">
        <f ca="1">IFERROR(__xludf.DUMMYFUNCTION("GOOGLETRANSLATE(J478,""ar"",""en"")"),"Ashraf")</f>
        <v>Ashraf</v>
      </c>
      <c r="N478" s="6" t="s">
        <v>2015</v>
      </c>
      <c r="O478" s="10" t="s">
        <v>2016</v>
      </c>
    </row>
    <row r="479" spans="1:15" ht="20.100000000000001" customHeight="1" thickTop="1" thickBot="1">
      <c r="A479" s="1"/>
      <c r="B479" s="22">
        <v>478</v>
      </c>
      <c r="C479" s="22" t="s">
        <v>2017</v>
      </c>
      <c r="D479" s="22" t="s">
        <v>13</v>
      </c>
      <c r="E479" s="23" t="s">
        <v>2018</v>
      </c>
      <c r="F479" s="22" t="str">
        <f ca="1">IFERROR(__xludf.DUMMYFUNCTION("GOOGLETRANSLATE(E479,""ar"",""en"")"),"Turkish Supplies")</f>
        <v>Turkish Supplies</v>
      </c>
      <c r="G479" s="22" t="s">
        <v>3585</v>
      </c>
      <c r="H479" s="24" t="s">
        <v>3587</v>
      </c>
      <c r="I479" s="23" t="s">
        <v>3657</v>
      </c>
      <c r="J479" s="5" t="str">
        <f ca="1">IFERROR(__xludf.DUMMYFUNCTION("GOOGLETRANSLATE(G479,""ar"",""en"")"),"The sword")</f>
        <v>The sword</v>
      </c>
      <c r="K479" s="11">
        <v>593111322</v>
      </c>
      <c r="L479" s="11" t="s">
        <v>499</v>
      </c>
      <c r="M479" s="5" t="str">
        <f ca="1">IFERROR(__xludf.DUMMYFUNCTION("GOOGLETRANSLATE(J479,""ar"",""en"")"),"Yusef")</f>
        <v>Yusef</v>
      </c>
      <c r="N479" s="12" t="s">
        <v>2019</v>
      </c>
      <c r="O479" s="10" t="s">
        <v>2020</v>
      </c>
    </row>
    <row r="480" spans="1:15" ht="20.100000000000001" customHeight="1" thickTop="1" thickBot="1">
      <c r="A480" s="1"/>
      <c r="B480" s="22">
        <v>479</v>
      </c>
      <c r="C480" s="22" t="s">
        <v>2021</v>
      </c>
      <c r="D480" s="22" t="s">
        <v>13</v>
      </c>
      <c r="E480" s="22" t="s">
        <v>2022</v>
      </c>
      <c r="F480" s="22" t="str">
        <f ca="1">IFERROR(__xludf.DUMMYFUNCTION("GOOGLETRANSLATE(E480,""ar"",""en"")"),"Narges Supermarket")</f>
        <v>Narges Supermarket</v>
      </c>
      <c r="G480" s="22" t="s">
        <v>3585</v>
      </c>
      <c r="H480" s="24" t="s">
        <v>3587</v>
      </c>
      <c r="I480" s="22" t="s">
        <v>3657</v>
      </c>
      <c r="J480" s="5" t="str">
        <f ca="1">IFERROR(__xludf.DUMMYFUNCTION("GOOGLETRANSLATE(G480,""ar"",""en"")"),"The sword")</f>
        <v>The sword</v>
      </c>
      <c r="K480" s="5"/>
      <c r="L480" s="5"/>
      <c r="M480" s="5" t="str">
        <f ca="1">IFERROR(__xludf.DUMMYFUNCTION("GOOGLETRANSLATE(J480,""ar"",""en"")"),"#VALUE!")</f>
        <v>#VALUE!</v>
      </c>
      <c r="N480" s="6" t="s">
        <v>2023</v>
      </c>
      <c r="O480" s="10" t="s">
        <v>2024</v>
      </c>
    </row>
    <row r="481" spans="1:15" ht="20.100000000000001" customHeight="1" thickTop="1" thickBot="1">
      <c r="A481" s="1"/>
      <c r="B481" s="22">
        <v>480</v>
      </c>
      <c r="C481" s="22" t="s">
        <v>2025</v>
      </c>
      <c r="D481" s="22" t="s">
        <v>13</v>
      </c>
      <c r="E481" s="23" t="s">
        <v>306</v>
      </c>
      <c r="F481" s="22" t="str">
        <f ca="1">IFERROR(__xludf.DUMMYFUNCTION("GOOGLETRANSLATE(E481,""ar"",""en"")"),"Customer service markets")</f>
        <v>Customer service markets</v>
      </c>
      <c r="G481" s="22" t="s">
        <v>3585</v>
      </c>
      <c r="H481" s="24" t="s">
        <v>3587</v>
      </c>
      <c r="I481" s="23" t="s">
        <v>3604</v>
      </c>
      <c r="J481" s="5" t="str">
        <f ca="1">IFERROR(__xludf.DUMMYFUNCTION("GOOGLETRANSLATE(G481,""ar"",""en"")"),"Yarmouk")</f>
        <v>Yarmouk</v>
      </c>
      <c r="K481" s="11"/>
      <c r="L481" s="11"/>
      <c r="M481" s="5" t="str">
        <f ca="1">IFERROR(__xludf.DUMMYFUNCTION("GOOGLETRANSLATE(J481,""ar"",""en"")"),"#VALUE!")</f>
        <v>#VALUE!</v>
      </c>
      <c r="N481" s="12" t="s">
        <v>2026</v>
      </c>
      <c r="O481" s="10" t="s">
        <v>2027</v>
      </c>
    </row>
    <row r="482" spans="1:15" ht="20.100000000000001" customHeight="1" thickTop="1" thickBot="1">
      <c r="A482" s="1"/>
      <c r="B482" s="22">
        <v>481</v>
      </c>
      <c r="C482" s="22" t="s">
        <v>2028</v>
      </c>
      <c r="D482" s="22" t="s">
        <v>13</v>
      </c>
      <c r="E482" s="22" t="s">
        <v>3668</v>
      </c>
      <c r="F482" s="22" t="str">
        <f ca="1">IFERROR(__xludf.DUMMYFUNCTION("GOOGLETRANSLATE(E482,""ar"",""en"")"),"#VALUE!")</f>
        <v>#VALUE!</v>
      </c>
      <c r="G482" s="22" t="s">
        <v>3585</v>
      </c>
      <c r="H482" s="24" t="s">
        <v>3587</v>
      </c>
      <c r="I482" s="22" t="s">
        <v>3604</v>
      </c>
      <c r="J482" s="5" t="str">
        <f ca="1">IFERROR(__xludf.DUMMYFUNCTION("GOOGLETRANSLATE(G482,""ar"",""en"")"),"#VALUE!")</f>
        <v>#VALUE!</v>
      </c>
      <c r="K482" s="5">
        <v>540583089</v>
      </c>
      <c r="L482" s="5"/>
      <c r="M482" s="5" t="str">
        <f ca="1">IFERROR(__xludf.DUMMYFUNCTION("GOOGLETRANSLATE(J482,""ar"",""en"")"),"#VALUE!")</f>
        <v>#VALUE!</v>
      </c>
      <c r="N482" s="6" t="s">
        <v>2029</v>
      </c>
      <c r="O482" s="10" t="s">
        <v>2030</v>
      </c>
    </row>
    <row r="483" spans="1:15" ht="20.100000000000001" customHeight="1" thickTop="1" thickBot="1">
      <c r="A483" s="1"/>
      <c r="B483" s="22">
        <v>482</v>
      </c>
      <c r="C483" s="22" t="s">
        <v>2031</v>
      </c>
      <c r="D483" s="22" t="s">
        <v>13</v>
      </c>
      <c r="E483" s="23" t="s">
        <v>3667</v>
      </c>
      <c r="F483" s="22" t="str">
        <f ca="1">IFERROR(__xludf.DUMMYFUNCTION("GOOGLETRANSLATE(E483,""ar"",""en"")"),"#VALUE!")</f>
        <v>#VALUE!</v>
      </c>
      <c r="G483" s="22" t="s">
        <v>3585</v>
      </c>
      <c r="H483" s="24" t="s">
        <v>3587</v>
      </c>
      <c r="I483" s="23" t="s">
        <v>3637</v>
      </c>
      <c r="J483" s="5" t="str">
        <f ca="1">IFERROR(__xludf.DUMMYFUNCTION("GOOGLETRANSLATE(G483,""ar"",""en"")"),"#VALUE!")</f>
        <v>#VALUE!</v>
      </c>
      <c r="K483" s="11"/>
      <c r="L483" s="11"/>
      <c r="M483" s="5" t="str">
        <f ca="1">IFERROR(__xludf.DUMMYFUNCTION("GOOGLETRANSLATE(J483,""ar"",""en"")"),"#VALUE!")</f>
        <v>#VALUE!</v>
      </c>
      <c r="N483" s="12" t="s">
        <v>2032</v>
      </c>
      <c r="O483" s="10" t="s">
        <v>2033</v>
      </c>
    </row>
    <row r="484" spans="1:15" ht="20.100000000000001" customHeight="1" thickTop="1" thickBot="1">
      <c r="A484" s="1"/>
      <c r="B484" s="22">
        <v>483</v>
      </c>
      <c r="C484" s="22" t="s">
        <v>2034</v>
      </c>
      <c r="D484" s="22" t="s">
        <v>13</v>
      </c>
      <c r="E484" s="22" t="s">
        <v>2035</v>
      </c>
      <c r="F484" s="22" t="str">
        <f ca="1">IFERROR(__xludf.DUMMYFUNCTION("GOOGLETRANSLATE(E484,""ar"",""en"")"),"My grocery store")</f>
        <v>My grocery store</v>
      </c>
      <c r="G484" s="22" t="s">
        <v>3585</v>
      </c>
      <c r="H484" s="24" t="s">
        <v>3587</v>
      </c>
      <c r="I484" s="22" t="s">
        <v>3637</v>
      </c>
      <c r="J484" s="5" t="str">
        <f ca="1">IFERROR(__xludf.DUMMYFUNCTION("GOOGLETRANSLATE(G484,""ar"",""en"")"),"orchards")</f>
        <v>orchards</v>
      </c>
      <c r="K484" s="5">
        <v>580719387</v>
      </c>
      <c r="L484" s="5" t="s">
        <v>175</v>
      </c>
      <c r="M484" s="5" t="str">
        <f ca="1">IFERROR(__xludf.DUMMYFUNCTION("GOOGLETRANSLATE(J484,""ar"",""en"")"),"Abdullah")</f>
        <v>Abdullah</v>
      </c>
      <c r="N484" s="6" t="s">
        <v>2036</v>
      </c>
      <c r="O484" s="10" t="s">
        <v>2037</v>
      </c>
    </row>
    <row r="485" spans="1:15" ht="20.100000000000001" customHeight="1" thickTop="1" thickBot="1">
      <c r="A485" s="1"/>
      <c r="B485" s="22">
        <v>484</v>
      </c>
      <c r="C485" s="22" t="s">
        <v>2038</v>
      </c>
      <c r="D485" s="22" t="s">
        <v>13</v>
      </c>
      <c r="E485" s="23" t="s">
        <v>2039</v>
      </c>
      <c r="F485" s="22" t="str">
        <f ca="1">IFERROR(__xludf.DUMMYFUNCTION("GOOGLETRANSLATE(E485,""ar"",""en"")"),"Rawabi Al Khair")</f>
        <v>Rawabi Al Khair</v>
      </c>
      <c r="G485" s="22" t="s">
        <v>3585</v>
      </c>
      <c r="H485" s="24" t="s">
        <v>3587</v>
      </c>
      <c r="I485" s="23" t="s">
        <v>3670</v>
      </c>
      <c r="J485" s="5" t="str">
        <f ca="1">IFERROR(__xludf.DUMMYFUNCTION("GOOGLETRANSLATE(G485,""ar"",""en"")"),"Al Rawabi")</f>
        <v>Al Rawabi</v>
      </c>
      <c r="K485" s="11">
        <v>530010510</v>
      </c>
      <c r="L485" s="11" t="s">
        <v>2040</v>
      </c>
      <c r="M485" s="5" t="str">
        <f ca="1">IFERROR(__xludf.DUMMYFUNCTION("GOOGLETRANSLATE(J485,""ar"",""en"")"),"Majed")</f>
        <v>Majed</v>
      </c>
      <c r="N485" s="12" t="s">
        <v>2041</v>
      </c>
      <c r="O485" s="10" t="s">
        <v>2042</v>
      </c>
    </row>
    <row r="486" spans="1:15" ht="20.100000000000001" customHeight="1" thickTop="1" thickBot="1">
      <c r="A486" s="1"/>
      <c r="B486" s="22">
        <v>485</v>
      </c>
      <c r="C486" s="22" t="s">
        <v>2043</v>
      </c>
      <c r="D486" s="22" t="s">
        <v>13</v>
      </c>
      <c r="E486" s="22" t="s">
        <v>2044</v>
      </c>
      <c r="F486" s="22" t="str">
        <f ca="1">IFERROR(__xludf.DUMMYFUNCTION("GOOGLETRANSLATE(E486,""ar"",""en"")"),"Mila Markets")</f>
        <v>Mila Markets</v>
      </c>
      <c r="G486" s="22" t="s">
        <v>2756</v>
      </c>
      <c r="H486" s="24" t="s">
        <v>3593</v>
      </c>
      <c r="I486" s="22" t="s">
        <v>3706</v>
      </c>
      <c r="J486" s="5" t="str">
        <f ca="1">IFERROR(__xludf.DUMMYFUNCTION("GOOGLETRANSLATE(G486,""ar"",""en"")"),"Raka")</f>
        <v>Raka</v>
      </c>
      <c r="K486" s="5">
        <v>561937388</v>
      </c>
      <c r="L486" s="5" t="s">
        <v>2045</v>
      </c>
      <c r="M486" s="5" t="str">
        <f ca="1">IFERROR(__xludf.DUMMYFUNCTION("GOOGLETRANSLATE(J486,""ar"",""en"")"),"Mohannad")</f>
        <v>Mohannad</v>
      </c>
      <c r="N486" s="6" t="s">
        <v>2046</v>
      </c>
      <c r="O486" s="10" t="s">
        <v>2047</v>
      </c>
    </row>
    <row r="487" spans="1:15" ht="20.100000000000001" customHeight="1" thickTop="1" thickBot="1">
      <c r="A487" s="1"/>
      <c r="B487" s="22">
        <v>486</v>
      </c>
      <c r="C487" s="22" t="s">
        <v>2048</v>
      </c>
      <c r="D487" s="22" t="s">
        <v>13</v>
      </c>
      <c r="E487" s="23" t="s">
        <v>3669</v>
      </c>
      <c r="F487" s="22" t="str">
        <f ca="1">IFERROR(__xludf.DUMMYFUNCTION("GOOGLETRANSLATE(E487,""ar"",""en"")"),"Supplies")</f>
        <v>Supplies</v>
      </c>
      <c r="G487" s="22" t="s">
        <v>2756</v>
      </c>
      <c r="H487" s="24" t="s">
        <v>3593</v>
      </c>
      <c r="I487" s="22" t="s">
        <v>3706</v>
      </c>
      <c r="J487" s="5" t="str">
        <f ca="1">IFERROR(__xludf.DUMMYFUNCTION("GOOGLETRANSLATE(G487,""ar"",""en"")"),"#VALUE!")</f>
        <v>#VALUE!</v>
      </c>
      <c r="K487" s="11"/>
      <c r="L487" s="11"/>
      <c r="M487" s="5" t="str">
        <f ca="1">IFERROR(__xludf.DUMMYFUNCTION("GOOGLETRANSLATE(J487,""ar"",""en"")"),"#VALUE!")</f>
        <v>#VALUE!</v>
      </c>
      <c r="N487" s="12" t="s">
        <v>2050</v>
      </c>
      <c r="O487" s="10" t="s">
        <v>2051</v>
      </c>
    </row>
    <row r="488" spans="1:15" ht="20.100000000000001" customHeight="1" thickTop="1" thickBot="1">
      <c r="A488" s="1"/>
      <c r="B488" s="22">
        <v>487</v>
      </c>
      <c r="C488" s="22" t="s">
        <v>2052</v>
      </c>
      <c r="D488" s="22" t="s">
        <v>13</v>
      </c>
      <c r="E488" s="22" t="s">
        <v>2053</v>
      </c>
      <c r="F488" s="22" t="str">
        <f ca="1">IFERROR(__xludf.DUMMYFUNCTION("GOOGLETRANSLATE(E488,""ar"",""en"")"),"Razan Supplies")</f>
        <v>Razan Supplies</v>
      </c>
      <c r="G488" s="22" t="s">
        <v>2756</v>
      </c>
      <c r="H488" s="24" t="s">
        <v>3593</v>
      </c>
      <c r="I488" s="22" t="s">
        <v>3706</v>
      </c>
      <c r="J488" s="5" t="str">
        <f ca="1">IFERROR(__xludf.DUMMYFUNCTION("GOOGLETRANSLATE(G488,""ar"",""en"")"),"Raka")</f>
        <v>Raka</v>
      </c>
      <c r="K488" s="5">
        <v>592352028</v>
      </c>
      <c r="L488" s="5" t="s">
        <v>153</v>
      </c>
      <c r="M488" s="5" t="str">
        <f ca="1">IFERROR(__xludf.DUMMYFUNCTION("GOOGLETRANSLATE(J488,""ar"",""en"")"),"Abdulrahman")</f>
        <v>Abdulrahman</v>
      </c>
      <c r="N488" s="6" t="s">
        <v>2054</v>
      </c>
      <c r="O488" s="10" t="s">
        <v>2055</v>
      </c>
    </row>
    <row r="489" spans="1:15" ht="20.100000000000001" customHeight="1" thickTop="1" thickBot="1">
      <c r="A489" s="1"/>
      <c r="B489" s="22">
        <v>488</v>
      </c>
      <c r="C489" s="22" t="s">
        <v>2056</v>
      </c>
      <c r="D489" s="22" t="s">
        <v>13</v>
      </c>
      <c r="E489" s="23" t="s">
        <v>2057</v>
      </c>
      <c r="F489" s="22" t="str">
        <f ca="1">IFERROR(__xludf.DUMMYFUNCTION("GOOGLETRANSLATE(E489,""ar"",""en"")"),"Adhbiya Zayed Foundation")</f>
        <v>Adhbiya Zayed Foundation</v>
      </c>
      <c r="G489" s="22" t="s">
        <v>2756</v>
      </c>
      <c r="H489" s="24" t="s">
        <v>3593</v>
      </c>
      <c r="I489" s="22" t="s">
        <v>3706</v>
      </c>
      <c r="J489" s="5" t="str">
        <f ca="1">IFERROR(__xludf.DUMMYFUNCTION("GOOGLETRANSLATE(G489,""ar"",""en"")"),"Raka")</f>
        <v>Raka</v>
      </c>
      <c r="K489" s="11"/>
      <c r="L489" s="11"/>
      <c r="M489" s="5" t="str">
        <f ca="1">IFERROR(__xludf.DUMMYFUNCTION("GOOGLETRANSLATE(J489,""ar"",""en"")"),"#VALUE!")</f>
        <v>#VALUE!</v>
      </c>
      <c r="N489" s="12" t="s">
        <v>2058</v>
      </c>
      <c r="O489" s="10" t="s">
        <v>2059</v>
      </c>
    </row>
    <row r="490" spans="1:15" ht="20.100000000000001" customHeight="1" thickTop="1" thickBot="1">
      <c r="A490" s="1"/>
      <c r="B490" s="22">
        <v>489</v>
      </c>
      <c r="C490" s="22" t="s">
        <v>2060</v>
      </c>
      <c r="D490" s="22" t="s">
        <v>13</v>
      </c>
      <c r="E490" s="22" t="s">
        <v>2061</v>
      </c>
      <c r="F490" s="22" t="str">
        <f ca="1">IFERROR(__xludf.DUMMYFUNCTION("GOOGLETRANSLATE(E490,""ar"",""en"")"),"Saudi Arabia neighborhood grocery store")</f>
        <v>Saudi Arabia neighborhood grocery store</v>
      </c>
      <c r="G490" s="22" t="s">
        <v>2756</v>
      </c>
      <c r="H490" s="24" t="s">
        <v>3593</v>
      </c>
      <c r="I490" s="22" t="s">
        <v>3706</v>
      </c>
      <c r="J490" s="5" t="str">
        <f ca="1">IFERROR(__xludf.DUMMYFUNCTION("GOOGLETRANSLATE(G490,""ar"",""en"")"),"Raka")</f>
        <v>Raka</v>
      </c>
      <c r="K490" s="5">
        <v>532370205</v>
      </c>
      <c r="L490" s="5"/>
      <c r="M490" s="5" t="str">
        <f ca="1">IFERROR(__xludf.DUMMYFUNCTION("GOOGLETRANSLATE(J490,""ar"",""en"")"),"#VALUE!")</f>
        <v>#VALUE!</v>
      </c>
      <c r="N490" s="6" t="s">
        <v>2062</v>
      </c>
      <c r="O490" s="10" t="s">
        <v>2063</v>
      </c>
    </row>
    <row r="491" spans="1:15" ht="20.100000000000001" customHeight="1" thickTop="1" thickBot="1">
      <c r="A491" s="1"/>
      <c r="B491" s="22">
        <v>490</v>
      </c>
      <c r="C491" s="22" t="s">
        <v>2064</v>
      </c>
      <c r="D491" s="22" t="s">
        <v>13</v>
      </c>
      <c r="E491" s="23" t="s">
        <v>2065</v>
      </c>
      <c r="F491" s="22" t="str">
        <f ca="1">IFERROR(__xludf.DUMMYFUNCTION("GOOGLETRANSLATE(E491,""ar"",""en"")"),"Golden Basket Markets")</f>
        <v>Golden Basket Markets</v>
      </c>
      <c r="G491" s="22" t="s">
        <v>2756</v>
      </c>
      <c r="H491" s="24" t="s">
        <v>3593</v>
      </c>
      <c r="I491" s="22" t="s">
        <v>3706</v>
      </c>
      <c r="J491" s="5" t="str">
        <f ca="1">IFERROR(__xludf.DUMMYFUNCTION("GOOGLETRANSLATE(G491,""ar"",""en"")"),"Raka")</f>
        <v>Raka</v>
      </c>
      <c r="K491" s="11">
        <v>501707644</v>
      </c>
      <c r="L491" s="11" t="s">
        <v>2066</v>
      </c>
      <c r="M491" s="5" t="str">
        <f ca="1">IFERROR(__xludf.DUMMYFUNCTION("GOOGLETRANSLATE(J491,""ar"",""en"")"),"Salem Ali")</f>
        <v>Salem Ali</v>
      </c>
      <c r="N491" s="12" t="s">
        <v>2067</v>
      </c>
      <c r="O491" s="10" t="s">
        <v>2068</v>
      </c>
    </row>
    <row r="492" spans="1:15" ht="20.100000000000001" customHeight="1" thickTop="1" thickBot="1">
      <c r="A492" s="1"/>
      <c r="B492" s="22">
        <v>491</v>
      </c>
      <c r="C492" s="22" t="s">
        <v>2069</v>
      </c>
      <c r="D492" s="22" t="s">
        <v>13</v>
      </c>
      <c r="E492" s="22" t="s">
        <v>2070</v>
      </c>
      <c r="F492" s="22" t="str">
        <f ca="1">IFERROR(__xludf.DUMMYFUNCTION("GOOGLETRANSLATE(E492,""ar"",""en"")"),"Rayhana Al-Faisaliyah")</f>
        <v>Rayhana Al-Faisaliyah</v>
      </c>
      <c r="G492" s="22" t="s">
        <v>2756</v>
      </c>
      <c r="H492" s="24" t="s">
        <v>3593</v>
      </c>
      <c r="I492" s="22" t="s">
        <v>3706</v>
      </c>
      <c r="J492" s="5" t="str">
        <f ca="1">IFERROR(__xludf.DUMMYFUNCTION("GOOGLETRANSLATE(G492,""ar"",""en"")"),"Raka")</f>
        <v>Raka</v>
      </c>
      <c r="K492" s="5">
        <v>591451956</v>
      </c>
      <c r="L492" s="5"/>
      <c r="M492" s="5" t="str">
        <f ca="1">IFERROR(__xludf.DUMMYFUNCTION("GOOGLETRANSLATE(J492,""ar"",""en"")"),"#VALUE!")</f>
        <v>#VALUE!</v>
      </c>
      <c r="N492" s="6" t="s">
        <v>2071</v>
      </c>
      <c r="O492" s="10" t="s">
        <v>2072</v>
      </c>
    </row>
    <row r="493" spans="1:15" ht="20.100000000000001" customHeight="1" thickTop="1" thickBot="1">
      <c r="A493" s="1"/>
      <c r="B493" s="22">
        <v>492</v>
      </c>
      <c r="C493" s="22" t="s">
        <v>2073</v>
      </c>
      <c r="D493" s="22" t="s">
        <v>13</v>
      </c>
      <c r="E493" s="23" t="s">
        <v>2074</v>
      </c>
      <c r="F493" s="22" t="str">
        <f ca="1">IFERROR(__xludf.DUMMYFUNCTION("GOOGLETRANSLATE(E493,""ar"",""en"")"),"Customer Service Markets")</f>
        <v>Customer Service Markets</v>
      </c>
      <c r="G493" s="22" t="s">
        <v>2756</v>
      </c>
      <c r="H493" s="24" t="s">
        <v>3593</v>
      </c>
      <c r="I493" s="22" t="s">
        <v>3706</v>
      </c>
      <c r="J493" s="5" t="str">
        <f ca="1">IFERROR(__xludf.DUMMYFUNCTION("GOOGLETRANSLATE(G493,""ar"",""en"")"),"Raka")</f>
        <v>Raka</v>
      </c>
      <c r="K493" s="11">
        <v>577729964</v>
      </c>
      <c r="L493" s="11"/>
      <c r="M493" s="5" t="str">
        <f ca="1">IFERROR(__xludf.DUMMYFUNCTION("GOOGLETRANSLATE(J493,""ar"",""en"")"),"#VALUE!")</f>
        <v>#VALUE!</v>
      </c>
      <c r="N493" s="12" t="s">
        <v>2075</v>
      </c>
      <c r="O493" s="10" t="s">
        <v>2076</v>
      </c>
    </row>
    <row r="494" spans="1:15" ht="20.100000000000001" customHeight="1" thickTop="1" thickBot="1">
      <c r="A494" s="1"/>
      <c r="B494" s="22">
        <v>493</v>
      </c>
      <c r="C494" s="22" t="s">
        <v>2077</v>
      </c>
      <c r="D494" s="22" t="s">
        <v>13</v>
      </c>
      <c r="E494" s="22" t="s">
        <v>2078</v>
      </c>
      <c r="F494" s="22" t="str">
        <f ca="1">IFERROR(__xludf.DUMMYFUNCTION("GOOGLETRANSLATE(E494,""ar"",""en"")"),"Daytime markets")</f>
        <v>Daytime markets</v>
      </c>
      <c r="G494" s="22" t="s">
        <v>2756</v>
      </c>
      <c r="H494" s="24" t="s">
        <v>3593</v>
      </c>
      <c r="I494" s="22" t="s">
        <v>3706</v>
      </c>
      <c r="J494" s="5" t="str">
        <f ca="1">IFERROR(__xludf.DUMMYFUNCTION("GOOGLETRANSLATE(G494,""ar"",""en"")"),"Raka")</f>
        <v>Raka</v>
      </c>
      <c r="K494" s="5"/>
      <c r="L494" s="5"/>
      <c r="M494" s="5" t="str">
        <f ca="1">IFERROR(__xludf.DUMMYFUNCTION("GOOGLETRANSLATE(J494,""ar"",""en"")"),"#VALUE!")</f>
        <v>#VALUE!</v>
      </c>
      <c r="N494" s="6" t="s">
        <v>2079</v>
      </c>
      <c r="O494" s="10" t="s">
        <v>2080</v>
      </c>
    </row>
    <row r="495" spans="1:15" ht="20.100000000000001" customHeight="1" thickTop="1" thickBot="1">
      <c r="A495" s="1"/>
      <c r="B495" s="22">
        <v>494</v>
      </c>
      <c r="C495" s="22" t="s">
        <v>2081</v>
      </c>
      <c r="D495" s="22" t="s">
        <v>13</v>
      </c>
      <c r="E495" s="23" t="s">
        <v>805</v>
      </c>
      <c r="F495" s="22" t="str">
        <f ca="1">IFERROR(__xludf.DUMMYFUNCTION("GOOGLETRANSLATE(E495,""ar"",""en"")"),"Azm Market")</f>
        <v>Azm Market</v>
      </c>
      <c r="G495" s="22" t="s">
        <v>2756</v>
      </c>
      <c r="H495" s="24" t="s">
        <v>3593</v>
      </c>
      <c r="I495" s="22" t="s">
        <v>3706</v>
      </c>
      <c r="J495" s="5" t="str">
        <f ca="1">IFERROR(__xludf.DUMMYFUNCTION("GOOGLETRANSLATE(G495,""ar"",""en"")"),"station")</f>
        <v>station</v>
      </c>
      <c r="K495" s="11">
        <v>552359575</v>
      </c>
      <c r="L495" s="11" t="s">
        <v>103</v>
      </c>
      <c r="M495" s="5" t="str">
        <f ca="1">IFERROR(__xludf.DUMMYFUNCTION("GOOGLETRANSLATE(J495,""ar"",""en"")"),"Salem")</f>
        <v>Salem</v>
      </c>
      <c r="N495" s="12" t="s">
        <v>2082</v>
      </c>
      <c r="O495" s="10" t="s">
        <v>2083</v>
      </c>
    </row>
    <row r="496" spans="1:15" ht="20.100000000000001" customHeight="1" thickTop="1" thickBot="1">
      <c r="A496" s="1"/>
      <c r="B496" s="22">
        <v>495</v>
      </c>
      <c r="C496" s="22" t="s">
        <v>2084</v>
      </c>
      <c r="D496" s="22" t="s">
        <v>13</v>
      </c>
      <c r="E496" s="22" t="s">
        <v>2085</v>
      </c>
      <c r="F496" s="22" t="str">
        <f ca="1">IFERROR(__xludf.DUMMYFUNCTION("GOOGLETRANSLATE(E496,""ar"",""en"")"),"Abdul Aziz Ibrahim Al-Awfi Grocery")</f>
        <v>Abdul Aziz Ibrahim Al-Awfi Grocery</v>
      </c>
      <c r="G496" s="22" t="s">
        <v>2756</v>
      </c>
      <c r="H496" s="24" t="s">
        <v>3593</v>
      </c>
      <c r="I496" s="22" t="s">
        <v>3706</v>
      </c>
      <c r="J496" s="5" t="str">
        <f ca="1">IFERROR(__xludf.DUMMYFUNCTION("GOOGLETRANSLATE(G496,""ar"",""en"")"),"Raka")</f>
        <v>Raka</v>
      </c>
      <c r="K496" s="5">
        <v>563939475</v>
      </c>
      <c r="L496" s="5" t="s">
        <v>2086</v>
      </c>
      <c r="M496" s="5" t="str">
        <f ca="1">IFERROR(__xludf.DUMMYFUNCTION("GOOGLETRANSLATE(J496,""ar"",""en"")"),"Saddam")</f>
        <v>Saddam</v>
      </c>
      <c r="N496" s="6" t="s">
        <v>2087</v>
      </c>
      <c r="O496" s="10" t="s">
        <v>2088</v>
      </c>
    </row>
    <row r="497" spans="1:15" ht="20.100000000000001" customHeight="1" thickTop="1" thickBot="1">
      <c r="A497" s="1"/>
      <c r="B497" s="22">
        <v>496</v>
      </c>
      <c r="C497" s="22" t="s">
        <v>2089</v>
      </c>
      <c r="D497" s="22" t="s">
        <v>13</v>
      </c>
      <c r="E497" s="23" t="s">
        <v>2090</v>
      </c>
      <c r="F497" s="22" t="str">
        <f ca="1">IFERROR(__xludf.DUMMYFUNCTION("GOOGLETRANSLATE(E497,""ar"",""en"")"),"Taj Mahal Foundation")</f>
        <v>Taj Mahal Foundation</v>
      </c>
      <c r="G497" s="22" t="s">
        <v>2756</v>
      </c>
      <c r="H497" s="24" t="s">
        <v>3593</v>
      </c>
      <c r="I497" s="22" t="s">
        <v>3706</v>
      </c>
      <c r="J497" s="5" t="str">
        <f ca="1">IFERROR(__xludf.DUMMYFUNCTION("GOOGLETRANSLATE(G497,""ar"",""en"")"),"Raka")</f>
        <v>Raka</v>
      </c>
      <c r="K497" s="11">
        <v>542255501</v>
      </c>
      <c r="L497" s="11"/>
      <c r="M497" s="5" t="str">
        <f ca="1">IFERROR(__xludf.DUMMYFUNCTION("GOOGLETRANSLATE(J497,""ar"",""en"")"),"#VALUE!")</f>
        <v>#VALUE!</v>
      </c>
      <c r="N497" s="12" t="s">
        <v>2091</v>
      </c>
      <c r="O497" s="10" t="s">
        <v>2092</v>
      </c>
    </row>
    <row r="498" spans="1:15" ht="20.100000000000001" customHeight="1" thickTop="1" thickBot="1">
      <c r="A498" s="1"/>
      <c r="B498" s="22">
        <v>497</v>
      </c>
      <c r="C498" s="22" t="s">
        <v>2093</v>
      </c>
      <c r="D498" s="22" t="s">
        <v>13</v>
      </c>
      <c r="E498" s="22" t="s">
        <v>2094</v>
      </c>
      <c r="F498" s="22" t="str">
        <f ca="1">IFERROR(__xludf.DUMMYFUNCTION("GOOGLETRANSLATE(E498,""ar"",""en"")"),"Green Land Foundation")</f>
        <v>Green Land Foundation</v>
      </c>
      <c r="G498" s="22" t="s">
        <v>2756</v>
      </c>
      <c r="H498" s="24" t="s">
        <v>3593</v>
      </c>
      <c r="I498" s="22" t="s">
        <v>3706</v>
      </c>
      <c r="J498" s="5" t="str">
        <f ca="1">IFERROR(__xludf.DUMMYFUNCTION("GOOGLETRANSLATE(G498,""ar"",""en"")"),"Raka")</f>
        <v>Raka</v>
      </c>
      <c r="K498" s="5">
        <v>541848068</v>
      </c>
      <c r="L498" s="5"/>
      <c r="M498" s="5" t="str">
        <f ca="1">IFERROR(__xludf.DUMMYFUNCTION("GOOGLETRANSLATE(J498,""ar"",""en"")"),"#VALUE!")</f>
        <v>#VALUE!</v>
      </c>
      <c r="N498" s="6" t="s">
        <v>2095</v>
      </c>
      <c r="O498" s="10" t="s">
        <v>2096</v>
      </c>
    </row>
    <row r="499" spans="1:15" ht="20.100000000000001" customHeight="1" thickTop="1" thickBot="1">
      <c r="A499" s="1"/>
      <c r="B499" s="22">
        <v>498</v>
      </c>
      <c r="C499" s="22" t="s">
        <v>2097</v>
      </c>
      <c r="D499" s="22" t="s">
        <v>13</v>
      </c>
      <c r="E499" s="23" t="s">
        <v>2098</v>
      </c>
      <c r="F499" s="22" t="str">
        <f ca="1">IFERROR(__xludf.DUMMYFUNCTION("GOOGLETRANSLATE(E499,""ar"",""en"")"),"Dana First Green Supermarkets")</f>
        <v>Dana First Green Supermarkets</v>
      </c>
      <c r="G499" s="22" t="s">
        <v>2756</v>
      </c>
      <c r="H499" s="24" t="s">
        <v>3593</v>
      </c>
      <c r="I499" s="22" t="s">
        <v>3706</v>
      </c>
      <c r="J499" s="5" t="str">
        <f ca="1">IFERROR(__xludf.DUMMYFUNCTION("GOOGLETRANSLATE(G499,""ar"",""en"")"),"Raka")</f>
        <v>Raka</v>
      </c>
      <c r="K499" s="11"/>
      <c r="L499" s="11"/>
      <c r="M499" s="5" t="str">
        <f ca="1">IFERROR(__xludf.DUMMYFUNCTION("GOOGLETRANSLATE(J499,""ar"",""en"")"),"#VALUE!")</f>
        <v>#VALUE!</v>
      </c>
      <c r="N499" s="12" t="s">
        <v>2099</v>
      </c>
      <c r="O499" s="10" t="s">
        <v>2100</v>
      </c>
    </row>
    <row r="500" spans="1:15" ht="20.100000000000001" customHeight="1" thickTop="1" thickBot="1">
      <c r="A500" s="1"/>
      <c r="B500" s="22">
        <v>499</v>
      </c>
      <c r="C500" s="22" t="s">
        <v>2101</v>
      </c>
      <c r="D500" s="22" t="s">
        <v>13</v>
      </c>
      <c r="E500" s="22" t="s">
        <v>2102</v>
      </c>
      <c r="F500" s="22" t="str">
        <f ca="1">IFERROR(__xludf.DUMMYFUNCTION("GOOGLETRANSLATE(E500,""ar"",""en"")"),"Moon Market")</f>
        <v>Moon Market</v>
      </c>
      <c r="G500" s="22" t="s">
        <v>2756</v>
      </c>
      <c r="H500" s="24" t="s">
        <v>3593</v>
      </c>
      <c r="I500" s="22" t="s">
        <v>3706</v>
      </c>
      <c r="J500" s="5" t="str">
        <f ca="1">IFERROR(__xludf.DUMMYFUNCTION("GOOGLETRANSLATE(G500,""ar"",""en"")"),"North Rakah")</f>
        <v>North Rakah</v>
      </c>
      <c r="K500" s="5">
        <v>538729011</v>
      </c>
      <c r="L500" s="5"/>
      <c r="M500" s="5" t="str">
        <f ca="1">IFERROR(__xludf.DUMMYFUNCTION("GOOGLETRANSLATE(J500,""ar"",""en"")"),"#VALUE!")</f>
        <v>#VALUE!</v>
      </c>
      <c r="N500" s="6" t="s">
        <v>2103</v>
      </c>
      <c r="O500" s="10" t="s">
        <v>2104</v>
      </c>
    </row>
    <row r="501" spans="1:15" ht="20.100000000000001" customHeight="1" thickTop="1" thickBot="1">
      <c r="A501" s="1"/>
      <c r="B501" s="22">
        <v>500</v>
      </c>
      <c r="C501" s="22" t="s">
        <v>2105</v>
      </c>
      <c r="D501" s="22" t="s">
        <v>13</v>
      </c>
      <c r="E501" s="23" t="s">
        <v>2106</v>
      </c>
      <c r="F501" s="22" t="str">
        <f ca="1">IFERROR(__xludf.DUMMYFUNCTION("GOOGLETRANSLATE(E501,""ar"",""en"")"),"Al-Hussam Al-Fiddi Foundation")</f>
        <v>Al-Hussam Al-Fiddi Foundation</v>
      </c>
      <c r="G501" s="22" t="s">
        <v>2756</v>
      </c>
      <c r="H501" s="24" t="s">
        <v>3593</v>
      </c>
      <c r="I501" s="22" t="s">
        <v>3706</v>
      </c>
      <c r="J501" s="5" t="str">
        <f ca="1">IFERROR(__xludf.DUMMYFUNCTION("GOOGLETRANSLATE(G501,""ar"",""en"")"),"Raka")</f>
        <v>Raka</v>
      </c>
      <c r="K501" s="11"/>
      <c r="L501" s="11"/>
      <c r="M501" s="5" t="str">
        <f ca="1">IFERROR(__xludf.DUMMYFUNCTION("GOOGLETRANSLATE(J501,""ar"",""en"")"),"#VALUE!")</f>
        <v>#VALUE!</v>
      </c>
      <c r="N501" s="12" t="s">
        <v>2107</v>
      </c>
      <c r="O501" s="10" t="s">
        <v>2108</v>
      </c>
    </row>
    <row r="502" spans="1:15" ht="20.100000000000001" customHeight="1" thickTop="1" thickBot="1">
      <c r="A502" s="1"/>
      <c r="B502" s="22">
        <v>501</v>
      </c>
      <c r="C502" s="22" t="s">
        <v>2109</v>
      </c>
      <c r="D502" s="22" t="s">
        <v>13</v>
      </c>
      <c r="E502" s="22" t="s">
        <v>2110</v>
      </c>
      <c r="F502" s="22" t="str">
        <f ca="1">IFERROR(__xludf.DUMMYFUNCTION("GOOGLETRANSLATE(E502,""ar"",""en"")"),"Easy Day Supplies")</f>
        <v>Easy Day Supplies</v>
      </c>
      <c r="G502" s="22" t="s">
        <v>2756</v>
      </c>
      <c r="H502" s="24" t="s">
        <v>3593</v>
      </c>
      <c r="I502" s="22" t="s">
        <v>3706</v>
      </c>
      <c r="J502" s="5" t="str">
        <f ca="1">IFERROR(__xludf.DUMMYFUNCTION("GOOGLETRANSLATE(G502,""ar"",""en"")"),"Raka")</f>
        <v>Raka</v>
      </c>
      <c r="K502" s="5">
        <v>570081945</v>
      </c>
      <c r="L502" s="5"/>
      <c r="M502" s="5" t="str">
        <f ca="1">IFERROR(__xludf.DUMMYFUNCTION("GOOGLETRANSLATE(J502,""ar"",""en"")"),"#VALUE!")</f>
        <v>#VALUE!</v>
      </c>
      <c r="N502" s="6" t="s">
        <v>2111</v>
      </c>
      <c r="O502" s="10" t="s">
        <v>2112</v>
      </c>
    </row>
    <row r="503" spans="1:15" ht="20.100000000000001" customHeight="1" thickTop="1" thickBot="1">
      <c r="A503" s="1"/>
      <c r="B503" s="22">
        <v>502</v>
      </c>
      <c r="C503" s="22" t="s">
        <v>2113</v>
      </c>
      <c r="D503" s="22" t="s">
        <v>13</v>
      </c>
      <c r="E503" s="23" t="s">
        <v>2114</v>
      </c>
      <c r="F503" s="22" t="str">
        <f ca="1">IFERROR(__xludf.DUMMYFUNCTION("GOOGLETRANSLATE(E503,""ar"",""en"")"),"Student Ali Al-Nahdi's Supplies")</f>
        <v>Student Ali Al-Nahdi's Supplies</v>
      </c>
      <c r="G503" s="22" t="s">
        <v>3585</v>
      </c>
      <c r="H503" s="24" t="s">
        <v>3587</v>
      </c>
      <c r="I503" s="23" t="s">
        <v>3704</v>
      </c>
      <c r="J503" s="5" t="str">
        <f ca="1">IFERROR(__xludf.DUMMYFUNCTION("GOOGLETRANSLATE(G503,""ar"",""en"")"),"Al-Khalidiyah")</f>
        <v>Al-Khalidiyah</v>
      </c>
      <c r="K503" s="11"/>
      <c r="L503" s="11"/>
      <c r="M503" s="5" t="str">
        <f ca="1">IFERROR(__xludf.DUMMYFUNCTION("GOOGLETRANSLATE(J503,""ar"",""en"")"),"#VALUE!")</f>
        <v>#VALUE!</v>
      </c>
      <c r="N503" s="12" t="s">
        <v>2115</v>
      </c>
      <c r="O503" s="10" t="s">
        <v>2116</v>
      </c>
    </row>
    <row r="504" spans="1:15" ht="20.100000000000001" customHeight="1" thickTop="1" thickBot="1">
      <c r="A504" s="1"/>
      <c r="B504" s="22">
        <v>503</v>
      </c>
      <c r="C504" s="22" t="s">
        <v>2117</v>
      </c>
      <c r="D504" s="22" t="s">
        <v>13</v>
      </c>
      <c r="E504" s="22" t="s">
        <v>2118</v>
      </c>
      <c r="F504" s="22" t="str">
        <f ca="1">IFERROR(__xludf.DUMMYFUNCTION("GOOGLETRANSLATE(E504,""ar"",""en"")"),"Food corners")</f>
        <v>Food corners</v>
      </c>
      <c r="G504" s="22" t="s">
        <v>3585</v>
      </c>
      <c r="H504" s="24" t="s">
        <v>3587</v>
      </c>
      <c r="I504" s="23" t="s">
        <v>3704</v>
      </c>
      <c r="J504" s="5" t="str">
        <f ca="1">IFERROR(__xludf.DUMMYFUNCTION("GOOGLETRANSLATE(G504,""ar"",""en"")"),"Al-Khalidiyah")</f>
        <v>Al-Khalidiyah</v>
      </c>
      <c r="K504" s="5">
        <v>532738453</v>
      </c>
      <c r="L504" s="5"/>
      <c r="M504" s="5" t="str">
        <f ca="1">IFERROR(__xludf.DUMMYFUNCTION("GOOGLETRANSLATE(J504,""ar"",""en"")"),"#VALUE!")</f>
        <v>#VALUE!</v>
      </c>
      <c r="N504" s="6" t="s">
        <v>2119</v>
      </c>
      <c r="O504" s="10" t="s">
        <v>2120</v>
      </c>
    </row>
    <row r="505" spans="1:15" ht="20.100000000000001" customHeight="1" thickTop="1" thickBot="1">
      <c r="A505" s="1"/>
      <c r="B505" s="22">
        <v>504</v>
      </c>
      <c r="C505" s="22" t="s">
        <v>2121</v>
      </c>
      <c r="D505" s="22" t="s">
        <v>13</v>
      </c>
      <c r="E505" s="23" t="s">
        <v>648</v>
      </c>
      <c r="F505" s="22" t="str">
        <f ca="1">IFERROR(__xludf.DUMMYFUNCTION("GOOGLETRANSLATE(E505,""ar"",""en"")"),"Najoum Al Khairat Company")</f>
        <v>Najoum Al Khairat Company</v>
      </c>
      <c r="G505" s="22" t="s">
        <v>3585</v>
      </c>
      <c r="H505" s="24" t="s">
        <v>3587</v>
      </c>
      <c r="I505" s="23" t="s">
        <v>3656</v>
      </c>
      <c r="J505" s="5" t="str">
        <f ca="1">IFERROR(__xludf.DUMMYFUNCTION("GOOGLETRANSLATE(G505,""ar"",""en"")"),"West Shore")</f>
        <v>West Shore</v>
      </c>
      <c r="K505" s="11"/>
      <c r="L505" s="11"/>
      <c r="M505" s="5" t="str">
        <f ca="1">IFERROR(__xludf.DUMMYFUNCTION("GOOGLETRANSLATE(J505,""ar"",""en"")"),"#VALUE!")</f>
        <v>#VALUE!</v>
      </c>
      <c r="N505" s="12" t="s">
        <v>2122</v>
      </c>
      <c r="O505" s="10" t="s">
        <v>2123</v>
      </c>
    </row>
    <row r="506" spans="1:15" ht="20.100000000000001" customHeight="1" thickTop="1" thickBot="1">
      <c r="A506" s="1"/>
      <c r="B506" s="22">
        <v>505</v>
      </c>
      <c r="C506" s="22" t="s">
        <v>2124</v>
      </c>
      <c r="D506" s="22" t="s">
        <v>13</v>
      </c>
      <c r="E506" s="22" t="s">
        <v>2125</v>
      </c>
      <c r="F506" s="22" t="str">
        <f ca="1">IFERROR(__xludf.DUMMYFUNCTION("GOOGLETRANSLATE(E506,""ar"",""en"")"),"Tahani Supplies")</f>
        <v>Tahani Supplies</v>
      </c>
      <c r="G506" s="22" t="s">
        <v>3585</v>
      </c>
      <c r="H506" s="24" t="s">
        <v>3587</v>
      </c>
      <c r="I506" s="23" t="s">
        <v>3656</v>
      </c>
      <c r="J506" s="5" t="str">
        <f ca="1">IFERROR(__xludf.DUMMYFUNCTION("GOOGLETRANSLATE(G506,""ar"",""en"")"),"beach")</f>
        <v>beach</v>
      </c>
      <c r="K506" s="5">
        <v>578553409</v>
      </c>
      <c r="L506" s="5"/>
      <c r="M506" s="5" t="str">
        <f ca="1">IFERROR(__xludf.DUMMYFUNCTION("GOOGLETRANSLATE(J506,""ar"",""en"")"),"#VALUE!")</f>
        <v>#VALUE!</v>
      </c>
      <c r="N506" s="6" t="s">
        <v>2126</v>
      </c>
      <c r="O506" s="10" t="s">
        <v>2127</v>
      </c>
    </row>
    <row r="507" spans="1:15" ht="20.100000000000001" customHeight="1" thickTop="1" thickBot="1">
      <c r="A507" s="1"/>
      <c r="B507" s="22">
        <v>506</v>
      </c>
      <c r="C507" s="22" t="s">
        <v>2128</v>
      </c>
      <c r="D507" s="22" t="s">
        <v>13</v>
      </c>
      <c r="E507" s="23" t="s">
        <v>2129</v>
      </c>
      <c r="F507" s="22" t="str">
        <f ca="1">IFERROR(__xludf.DUMMYFUNCTION("GOOGLETRANSLATE(E507,""ar"",""en"")"),"Beach Flowers Supplies")</f>
        <v>Beach Flowers Supplies</v>
      </c>
      <c r="G507" s="22" t="s">
        <v>3585</v>
      </c>
      <c r="H507" s="24" t="s">
        <v>3587</v>
      </c>
      <c r="I507" s="23" t="s">
        <v>3656</v>
      </c>
      <c r="J507" s="5" t="str">
        <f ca="1">IFERROR(__xludf.DUMMYFUNCTION("GOOGLETRANSLATE(G507,""ar"",""en"")"),"beach")</f>
        <v>beach</v>
      </c>
      <c r="K507" s="11">
        <v>501633823</v>
      </c>
      <c r="L507" s="11" t="s">
        <v>1878</v>
      </c>
      <c r="M507" s="5" t="str">
        <f ca="1">IFERROR(__xludf.DUMMYFUNCTION("GOOGLETRANSLATE(J507,""ar"",""en"")"),"Faisal")</f>
        <v>Faisal</v>
      </c>
      <c r="N507" s="12" t="s">
        <v>2130</v>
      </c>
      <c r="O507" s="10" t="s">
        <v>2131</v>
      </c>
    </row>
    <row r="508" spans="1:15" ht="20.100000000000001" customHeight="1" thickTop="1" thickBot="1">
      <c r="A508" s="1"/>
      <c r="B508" s="22">
        <v>507</v>
      </c>
      <c r="C508" s="22" t="s">
        <v>2132</v>
      </c>
      <c r="D508" s="22" t="s">
        <v>13</v>
      </c>
      <c r="E508" s="22" t="s">
        <v>2133</v>
      </c>
      <c r="F508" s="22" t="str">
        <f ca="1">IFERROR(__xludf.DUMMYFUNCTION("GOOGLETRANSLATE(E508,""ar"",""en"")"),"Warda Supplies")</f>
        <v>Warda Supplies</v>
      </c>
      <c r="G508" s="22" t="s">
        <v>3585</v>
      </c>
      <c r="H508" s="24" t="s">
        <v>3587</v>
      </c>
      <c r="I508" s="23" t="s">
        <v>3656</v>
      </c>
      <c r="J508" s="5" t="str">
        <f ca="1">IFERROR(__xludf.DUMMYFUNCTION("GOOGLETRANSLATE(G508,""ar"",""en"")"),"beach")</f>
        <v>beach</v>
      </c>
      <c r="K508" s="5">
        <v>575969124</v>
      </c>
      <c r="L508" s="5" t="s">
        <v>2134</v>
      </c>
      <c r="M508" s="5" t="str">
        <f ca="1">IFERROR(__xludf.DUMMYFUNCTION("GOOGLETRANSLATE(J508,""ar"",""en"")"),"support")</f>
        <v>support</v>
      </c>
      <c r="N508" s="6"/>
      <c r="O508" s="15"/>
    </row>
    <row r="509" spans="1:15" ht="20.100000000000001" customHeight="1" thickTop="1" thickBot="1">
      <c r="A509" s="1"/>
      <c r="B509" s="22">
        <v>508</v>
      </c>
      <c r="C509" s="22" t="s">
        <v>2135</v>
      </c>
      <c r="D509" s="22" t="s">
        <v>13</v>
      </c>
      <c r="E509" s="23" t="s">
        <v>3697</v>
      </c>
      <c r="F509" s="22" t="str">
        <f ca="1">IFERROR(__xludf.DUMMYFUNCTION("GOOGLETRANSLATE(E509,""ar"",""en"")"),"He couldn't give his number")</f>
        <v>He couldn't give his number</v>
      </c>
      <c r="G509" s="22" t="s">
        <v>3585</v>
      </c>
      <c r="H509" s="24" t="s">
        <v>3587</v>
      </c>
      <c r="I509" s="23" t="s">
        <v>3656</v>
      </c>
      <c r="J509" s="5" t="str">
        <f ca="1">IFERROR(__xludf.DUMMYFUNCTION("GOOGLETRANSLATE(G509,""ar"",""en"")"),"#VALUE!")</f>
        <v>#VALUE!</v>
      </c>
      <c r="K509" s="11"/>
      <c r="L509" s="11"/>
      <c r="M509" s="5" t="str">
        <f ca="1">IFERROR(__xludf.DUMMYFUNCTION("GOOGLETRANSLATE(J509,""ar"",""en"")"),"#VALUE!")</f>
        <v>#VALUE!</v>
      </c>
      <c r="N509" s="12" t="s">
        <v>2136</v>
      </c>
      <c r="O509" s="10" t="s">
        <v>2137</v>
      </c>
    </row>
    <row r="510" spans="1:15" ht="20.100000000000001" customHeight="1" thickTop="1" thickBot="1">
      <c r="A510" s="1"/>
      <c r="B510" s="22">
        <v>509</v>
      </c>
      <c r="C510" s="22" t="s">
        <v>2138</v>
      </c>
      <c r="D510" s="22" t="s">
        <v>13</v>
      </c>
      <c r="E510" s="22" t="s">
        <v>2139</v>
      </c>
      <c r="F510" s="22" t="str">
        <f ca="1">IFERROR(__xludf.DUMMYFUNCTION("GOOGLETRANSLATE(E510,""ar"",""en"")"),"Fatima Ahmed Bin Mohammed Al-Hamad Ali Grocery")</f>
        <v>Fatima Ahmed Bin Mohammed Al-Hamad Ali Grocery</v>
      </c>
      <c r="G510" s="22" t="s">
        <v>3585</v>
      </c>
      <c r="H510" s="24" t="s">
        <v>3587</v>
      </c>
      <c r="I510" s="23" t="s">
        <v>3656</v>
      </c>
      <c r="J510" s="5" t="str">
        <f ca="1">IFERROR(__xludf.DUMMYFUNCTION("GOOGLETRANSLATE(G510,""ar"",""en"")"),"beach")</f>
        <v>beach</v>
      </c>
      <c r="K510" s="5"/>
      <c r="L510" s="5"/>
      <c r="M510" s="5" t="str">
        <f ca="1">IFERROR(__xludf.DUMMYFUNCTION("GOOGLETRANSLATE(J510,""ar"",""en"")"),"#VALUE!")</f>
        <v>#VALUE!</v>
      </c>
      <c r="N510" s="6" t="s">
        <v>2140</v>
      </c>
      <c r="O510" s="10" t="s">
        <v>2141</v>
      </c>
    </row>
    <row r="511" spans="1:15" ht="20.100000000000001" customHeight="1" thickTop="1" thickBot="1">
      <c r="A511" s="1"/>
      <c r="B511" s="22">
        <v>510</v>
      </c>
      <c r="C511" s="22" t="s">
        <v>2142</v>
      </c>
      <c r="D511" s="22" t="s">
        <v>13</v>
      </c>
      <c r="E511" s="23" t="s">
        <v>2143</v>
      </c>
      <c r="F511" s="22" t="str">
        <f ca="1">IFERROR(__xludf.DUMMYFUNCTION("GOOGLETRANSLATE(E511,""ar"",""en"")"),"Sunset Beach Supplies")</f>
        <v>Sunset Beach Supplies</v>
      </c>
      <c r="G511" s="22" t="s">
        <v>3585</v>
      </c>
      <c r="H511" s="24" t="s">
        <v>3587</v>
      </c>
      <c r="I511" s="23" t="s">
        <v>3656</v>
      </c>
      <c r="J511" s="5" t="str">
        <f ca="1">IFERROR(__xludf.DUMMYFUNCTION("GOOGLETRANSLATE(G511,""ar"",""en"")"),"beach")</f>
        <v>beach</v>
      </c>
      <c r="K511" s="11">
        <v>557282081</v>
      </c>
      <c r="L511" s="11" t="s">
        <v>2144</v>
      </c>
      <c r="M511" s="5" t="str">
        <f ca="1">IFERROR(__xludf.DUMMYFUNCTION("GOOGLETRANSLATE(J511,""ar"",""en"")"),"Abdullah bin Marda'")</f>
        <v>Abdullah bin Marda'</v>
      </c>
      <c r="N511" s="12" t="s">
        <v>2145</v>
      </c>
      <c r="O511" s="10" t="s">
        <v>2146</v>
      </c>
    </row>
    <row r="512" spans="1:15" ht="20.100000000000001" customHeight="1" thickTop="1" thickBot="1">
      <c r="A512" s="1"/>
      <c r="B512" s="22">
        <v>511</v>
      </c>
      <c r="C512" s="22" t="s">
        <v>2147</v>
      </c>
      <c r="D512" s="22" t="s">
        <v>13</v>
      </c>
      <c r="E512" s="22" t="s">
        <v>2148</v>
      </c>
      <c r="F512" s="22" t="str">
        <f ca="1">IFERROR(__xludf.DUMMYFUNCTION("GOOGLETRANSLATE(E512,""ar"",""en"")"),"Al-Jawhara Supplies")</f>
        <v>Al-Jawhara Supplies</v>
      </c>
      <c r="G512" s="22" t="s">
        <v>3585</v>
      </c>
      <c r="H512" s="24" t="s">
        <v>3587</v>
      </c>
      <c r="I512" s="23" t="s">
        <v>3656</v>
      </c>
      <c r="J512" s="5" t="str">
        <f ca="1">IFERROR(__xludf.DUMMYFUNCTION("GOOGLETRANSLATE(G512,""ar"",""en"")"),"beach")</f>
        <v>beach</v>
      </c>
      <c r="K512" s="5">
        <v>542988250</v>
      </c>
      <c r="L512" s="5"/>
      <c r="M512" s="5" t="str">
        <f ca="1">IFERROR(__xludf.DUMMYFUNCTION("GOOGLETRANSLATE(J512,""ar"",""en"")"),"#VALUE!")</f>
        <v>#VALUE!</v>
      </c>
      <c r="N512" s="6" t="s">
        <v>2149</v>
      </c>
      <c r="O512" s="10" t="s">
        <v>2150</v>
      </c>
    </row>
    <row r="513" spans="1:15" ht="20.100000000000001" customHeight="1" thickTop="1" thickBot="1">
      <c r="A513" s="1"/>
      <c r="B513" s="22">
        <v>512</v>
      </c>
      <c r="C513" s="22" t="s">
        <v>2151</v>
      </c>
      <c r="D513" s="22" t="s">
        <v>13</v>
      </c>
      <c r="E513" s="23" t="s">
        <v>2152</v>
      </c>
      <c r="F513" s="22" t="str">
        <f ca="1">IFERROR(__xludf.DUMMYFUNCTION("GOOGLETRANSLATE(E513,""ar"",""en"")"),"Gulf Marketing")</f>
        <v>Gulf Marketing</v>
      </c>
      <c r="G513" s="22" t="s">
        <v>3585</v>
      </c>
      <c r="H513" s="24" t="s">
        <v>3587</v>
      </c>
      <c r="I513" s="23" t="s">
        <v>3656</v>
      </c>
      <c r="J513" s="5" t="str">
        <f ca="1">IFERROR(__xludf.DUMMYFUNCTION("GOOGLETRANSLATE(G513,""ar"",""en"")"),"beach")</f>
        <v>beach</v>
      </c>
      <c r="K513" s="11">
        <v>502743845</v>
      </c>
      <c r="L513" s="11" t="s">
        <v>2153</v>
      </c>
      <c r="M513" s="5" t="str">
        <f ca="1">IFERROR(__xludf.DUMMYFUNCTION("GOOGLETRANSLATE(J513,""ar"",""en"")"),"Abu Uthman")</f>
        <v>Abu Uthman</v>
      </c>
      <c r="N513" s="12" t="s">
        <v>2154</v>
      </c>
      <c r="O513" s="10" t="s">
        <v>2155</v>
      </c>
    </row>
    <row r="514" spans="1:15" ht="20.100000000000001" customHeight="1" thickTop="1" thickBot="1">
      <c r="A514" s="1"/>
      <c r="B514" s="22">
        <v>513</v>
      </c>
      <c r="C514" s="22" t="s">
        <v>2156</v>
      </c>
      <c r="D514" s="22" t="s">
        <v>13</v>
      </c>
      <c r="E514" s="22" t="s">
        <v>3671</v>
      </c>
      <c r="F514" s="22" t="str">
        <f ca="1">IFERROR(__xludf.DUMMYFUNCTION("GOOGLETRANSLATE(E514,""ar"",""en"")"),"#VALUE!")</f>
        <v>#VALUE!</v>
      </c>
      <c r="G514" s="22" t="s">
        <v>3585</v>
      </c>
      <c r="H514" s="24" t="s">
        <v>3587</v>
      </c>
      <c r="I514" s="22" t="s">
        <v>3656</v>
      </c>
      <c r="J514" s="5" t="str">
        <f ca="1">IFERROR(__xludf.DUMMYFUNCTION("GOOGLETRANSLATE(G514,""ar"",""en"")"),"#VALUE!")</f>
        <v>#VALUE!</v>
      </c>
      <c r="K514" s="5"/>
      <c r="L514" s="5"/>
      <c r="M514" s="5" t="str">
        <f ca="1">IFERROR(__xludf.DUMMYFUNCTION("GOOGLETRANSLATE(J514,""ar"",""en"")"),"#VALUE!")</f>
        <v>#VALUE!</v>
      </c>
      <c r="N514" s="6" t="s">
        <v>2157</v>
      </c>
      <c r="O514" s="10" t="s">
        <v>2158</v>
      </c>
    </row>
    <row r="515" spans="1:15" ht="20.100000000000001" customHeight="1" thickTop="1" thickBot="1">
      <c r="A515" s="1"/>
      <c r="B515" s="22">
        <v>514</v>
      </c>
      <c r="C515" s="22" t="s">
        <v>2159</v>
      </c>
      <c r="D515" s="22" t="s">
        <v>13</v>
      </c>
      <c r="E515" s="23" t="s">
        <v>577</v>
      </c>
      <c r="F515" s="22" t="str">
        <f ca="1">IFERROR(__xludf.DUMMYFUNCTION("GOOGLETRANSLATE(E515,""ar"",""en"")"),"Narges Company")</f>
        <v>Narges Company</v>
      </c>
      <c r="G515" s="22" t="s">
        <v>3585</v>
      </c>
      <c r="H515" s="24" t="s">
        <v>3587</v>
      </c>
      <c r="I515" s="23" t="s">
        <v>3656</v>
      </c>
      <c r="J515" s="5" t="str">
        <f ca="1">IFERROR(__xludf.DUMMYFUNCTION("GOOGLETRANSLATE(G515,""ar"",""en"")"),"beach")</f>
        <v>beach</v>
      </c>
      <c r="K515" s="11">
        <v>567850676</v>
      </c>
      <c r="L515" s="11" t="s">
        <v>1189</v>
      </c>
      <c r="M515" s="5" t="str">
        <f ca="1">IFERROR(__xludf.DUMMYFUNCTION("GOOGLETRANSLATE(J515,""ar"",""en"")"),"age")</f>
        <v>age</v>
      </c>
      <c r="N515" s="12" t="s">
        <v>2160</v>
      </c>
      <c r="O515" s="10" t="s">
        <v>2161</v>
      </c>
    </row>
    <row r="516" spans="1:15" ht="20.100000000000001" customHeight="1" thickTop="1" thickBot="1">
      <c r="A516" s="1"/>
      <c r="B516" s="22">
        <v>515</v>
      </c>
      <c r="C516" s="22" t="s">
        <v>2162</v>
      </c>
      <c r="D516" s="22" t="s">
        <v>13</v>
      </c>
      <c r="E516" s="22" t="s">
        <v>2163</v>
      </c>
      <c r="F516" s="22" t="str">
        <f ca="1">IFERROR(__xludf.DUMMYFUNCTION("GOOGLETRANSLATE(E516,""ar"",""en"")"),"Kayan and Hala Markets")</f>
        <v>Kayan and Hala Markets</v>
      </c>
      <c r="G516" s="22" t="s">
        <v>3585</v>
      </c>
      <c r="H516" s="24" t="s">
        <v>3587</v>
      </c>
      <c r="I516" s="22" t="s">
        <v>3658</v>
      </c>
      <c r="J516" s="5" t="str">
        <f ca="1">IFERROR(__xludf.DUMMYFUNCTION("GOOGLETRANSLATE(G516,""ar"",""en"")"),"Agricultural")</f>
        <v>Agricultural</v>
      </c>
      <c r="K516" s="5"/>
      <c r="L516" s="5"/>
      <c r="M516" s="5" t="str">
        <f ca="1">IFERROR(__xludf.DUMMYFUNCTION("GOOGLETRANSLATE(J516,""ar"",""en"")"),"#VALUE!")</f>
        <v>#VALUE!</v>
      </c>
      <c r="N516" s="6" t="s">
        <v>2164</v>
      </c>
      <c r="O516" s="10" t="s">
        <v>2165</v>
      </c>
    </row>
    <row r="517" spans="1:15" ht="20.100000000000001" customHeight="1" thickTop="1" thickBot="1">
      <c r="A517" s="1"/>
      <c r="B517" s="22">
        <v>516</v>
      </c>
      <c r="C517" s="22" t="s">
        <v>2166</v>
      </c>
      <c r="D517" s="22" t="s">
        <v>13</v>
      </c>
      <c r="E517" s="23" t="s">
        <v>2167</v>
      </c>
      <c r="F517" s="22" t="str">
        <f ca="1">IFERROR(__xludf.DUMMYFUNCTION("GOOGLETRANSLATE(E517,""ar"",""en"")"),"Al-Ahl Corner Grocery")</f>
        <v>Al-Ahl Corner Grocery</v>
      </c>
      <c r="G517" s="22" t="s">
        <v>3585</v>
      </c>
      <c r="H517" s="24" t="s">
        <v>3587</v>
      </c>
      <c r="I517" s="22" t="s">
        <v>3658</v>
      </c>
      <c r="J517" s="5" t="str">
        <f ca="1">IFERROR(__xludf.DUMMYFUNCTION("GOOGLETRANSLATE(G517,""ar"",""en"")"),"Agricultural")</f>
        <v>Agricultural</v>
      </c>
      <c r="K517" s="11">
        <v>595220965</v>
      </c>
      <c r="L517" s="11"/>
      <c r="M517" s="5" t="str">
        <f ca="1">IFERROR(__xludf.DUMMYFUNCTION("GOOGLETRANSLATE(J517,""ar"",""en"")"),"#VALUE!")</f>
        <v>#VALUE!</v>
      </c>
      <c r="N517" s="12" t="s">
        <v>2168</v>
      </c>
      <c r="O517" s="10" t="s">
        <v>2169</v>
      </c>
    </row>
    <row r="518" spans="1:15" ht="20.100000000000001" customHeight="1" thickTop="1" thickBot="1">
      <c r="A518" s="1"/>
      <c r="B518" s="22">
        <v>517</v>
      </c>
      <c r="C518" s="22" t="s">
        <v>2170</v>
      </c>
      <c r="D518" s="22" t="s">
        <v>13</v>
      </c>
      <c r="E518" s="22" t="s">
        <v>2171</v>
      </c>
      <c r="F518" s="22" t="str">
        <f ca="1">IFERROR(__xludf.DUMMYFUNCTION("GOOGLETRANSLATE(E518,""ar"",""en"")"),"Neighborhood Groceries")</f>
        <v>Neighborhood Groceries</v>
      </c>
      <c r="G518" s="22" t="s">
        <v>3585</v>
      </c>
      <c r="H518" s="24" t="s">
        <v>3587</v>
      </c>
      <c r="I518" s="22" t="s">
        <v>3658</v>
      </c>
      <c r="J518" s="5" t="str">
        <f ca="1">IFERROR(__xludf.DUMMYFUNCTION("GOOGLETRANSLATE(G518,""ar"",""en"")"),"Agricultural")</f>
        <v>Agricultural</v>
      </c>
      <c r="K518" s="5">
        <v>500685650</v>
      </c>
      <c r="L518" s="5" t="s">
        <v>2172</v>
      </c>
      <c r="M518" s="5" t="str">
        <f ca="1">IFERROR(__xludf.DUMMYFUNCTION("GOOGLETRANSLATE(J518,""ar"",""en"")"),"sound")</f>
        <v>sound</v>
      </c>
      <c r="N518" s="6" t="s">
        <v>2173</v>
      </c>
      <c r="O518" s="10" t="s">
        <v>2174</v>
      </c>
    </row>
    <row r="519" spans="1:15" ht="20.100000000000001" customHeight="1" thickTop="1" thickBot="1">
      <c r="A519" s="1"/>
      <c r="B519" s="22">
        <v>518</v>
      </c>
      <c r="C519" s="22" t="s">
        <v>2175</v>
      </c>
      <c r="D519" s="22" t="s">
        <v>13</v>
      </c>
      <c r="E519" s="23" t="s">
        <v>343</v>
      </c>
      <c r="F519" s="22" t="str">
        <f ca="1">IFERROR(__xludf.DUMMYFUNCTION("GOOGLETRANSLATE(E519,""ar"",""en"")"),"Mazaya Supplies")</f>
        <v>Mazaya Supplies</v>
      </c>
      <c r="G519" s="22" t="s">
        <v>3585</v>
      </c>
      <c r="H519" s="24" t="s">
        <v>3587</v>
      </c>
      <c r="I519" s="22" t="s">
        <v>3658</v>
      </c>
      <c r="J519" s="5" t="str">
        <f ca="1">IFERROR(__xludf.DUMMYFUNCTION("GOOGLETRANSLATE(G519,""ar"",""en"")"),"Agricultural")</f>
        <v>Agricultural</v>
      </c>
      <c r="K519" s="11"/>
      <c r="L519" s="11"/>
      <c r="M519" s="5" t="str">
        <f ca="1">IFERROR(__xludf.DUMMYFUNCTION("GOOGLETRANSLATE(J519,""ar"",""en"")"),"#VALUE!")</f>
        <v>#VALUE!</v>
      </c>
      <c r="N519" s="12" t="s">
        <v>2176</v>
      </c>
      <c r="O519" s="10" t="s">
        <v>2177</v>
      </c>
    </row>
    <row r="520" spans="1:15" ht="20.100000000000001" customHeight="1" thickTop="1" thickBot="1">
      <c r="A520" s="1"/>
      <c r="B520" s="22">
        <v>519</v>
      </c>
      <c r="C520" s="22" t="s">
        <v>2178</v>
      </c>
      <c r="D520" s="22" t="s">
        <v>13</v>
      </c>
      <c r="E520" s="22" t="s">
        <v>2179</v>
      </c>
      <c r="F520" s="22" t="str">
        <f ca="1">IFERROR(__xludf.DUMMYFUNCTION("GOOGLETRANSLATE(E520,""ar"",""en"")"),"Nafila Saleh Foundation")</f>
        <v>Nafila Saleh Foundation</v>
      </c>
      <c r="G520" s="22" t="s">
        <v>3585</v>
      </c>
      <c r="H520" s="24" t="s">
        <v>3587</v>
      </c>
      <c r="I520" s="22" t="s">
        <v>3658</v>
      </c>
      <c r="J520" s="5" t="str">
        <f ca="1">IFERROR(__xludf.DUMMYFUNCTION("GOOGLETRANSLATE(G520,""ar"",""en"")"),"Agricultural")</f>
        <v>Agricultural</v>
      </c>
      <c r="K520" s="5">
        <v>573010775</v>
      </c>
      <c r="L520" s="5"/>
      <c r="M520" s="5" t="str">
        <f ca="1">IFERROR(__xludf.DUMMYFUNCTION("GOOGLETRANSLATE(J520,""ar"",""en"")"),"#VALUE!")</f>
        <v>#VALUE!</v>
      </c>
      <c r="N520" s="6" t="s">
        <v>2180</v>
      </c>
      <c r="O520" s="10" t="s">
        <v>2181</v>
      </c>
    </row>
    <row r="521" spans="1:15" ht="20.100000000000001" customHeight="1" thickTop="1" thickBot="1">
      <c r="A521" s="1"/>
      <c r="B521" s="22">
        <v>520</v>
      </c>
      <c r="C521" s="22" t="s">
        <v>2182</v>
      </c>
      <c r="D521" s="22" t="s">
        <v>13</v>
      </c>
      <c r="E521" s="22" t="s">
        <v>2183</v>
      </c>
      <c r="F521" s="22" t="str">
        <f ca="1">IFERROR(__xludf.DUMMYFUNCTION("GOOGLETRANSLATE(E521,""ar"",""en"")"),"Sama Al Jawhara Trading Company")</f>
        <v>Sama Al Jawhara Trading Company</v>
      </c>
      <c r="G521" s="22" t="s">
        <v>3585</v>
      </c>
      <c r="H521" s="24" t="s">
        <v>3587</v>
      </c>
      <c r="I521" s="22" t="s">
        <v>3658</v>
      </c>
      <c r="J521" s="5" t="str">
        <f ca="1">IFERROR(__xludf.DUMMYFUNCTION("GOOGLETRANSLATE(G521,""ar"",""en"")"),"Agricultural")</f>
        <v>Agricultural</v>
      </c>
      <c r="K521" s="5">
        <v>548271183</v>
      </c>
      <c r="L521" s="5" t="s">
        <v>2184</v>
      </c>
      <c r="M521" s="5" t="str">
        <f ca="1">IFERROR(__xludf.DUMMYFUNCTION("GOOGLETRANSLATE(J521,""ar"",""en"")"),"Ramzi Al-Awadhi")</f>
        <v>Ramzi Al-Awadhi</v>
      </c>
      <c r="N521" s="6" t="s">
        <v>2185</v>
      </c>
      <c r="O521" s="10" t="s">
        <v>2186</v>
      </c>
    </row>
    <row r="522" spans="1:15" ht="20.100000000000001" customHeight="1" thickTop="1" thickBot="1">
      <c r="A522" s="1"/>
      <c r="B522" s="22">
        <v>521</v>
      </c>
      <c r="C522" s="22" t="s">
        <v>2187</v>
      </c>
      <c r="D522" s="22" t="s">
        <v>13</v>
      </c>
      <c r="E522" s="23" t="s">
        <v>2188</v>
      </c>
      <c r="F522" s="22" t="str">
        <f ca="1">IFERROR(__xludf.DUMMYFUNCTION("GOOGLETRANSLATE(E522,""ar"",""en"")"),"Treasures Markets")</f>
        <v>Treasures Markets</v>
      </c>
      <c r="G522" s="22" t="s">
        <v>3585</v>
      </c>
      <c r="H522" s="24" t="s">
        <v>3587</v>
      </c>
      <c r="I522" s="22" t="s">
        <v>3658</v>
      </c>
      <c r="J522" s="5" t="str">
        <f ca="1">IFERROR(__xludf.DUMMYFUNCTION("GOOGLETRANSLATE(G522,""ar"",""en"")"),"Agricultural")</f>
        <v>Agricultural</v>
      </c>
      <c r="K522" s="11"/>
      <c r="L522" s="11"/>
      <c r="M522" s="5" t="str">
        <f ca="1">IFERROR(__xludf.DUMMYFUNCTION("GOOGLETRANSLATE(J522,""ar"",""en"")"),"#VALUE!")</f>
        <v>#VALUE!</v>
      </c>
      <c r="N522" s="12" t="s">
        <v>2189</v>
      </c>
      <c r="O522" s="10" t="s">
        <v>2190</v>
      </c>
    </row>
    <row r="523" spans="1:15" ht="20.100000000000001" customHeight="1" thickTop="1" thickBot="1">
      <c r="A523" s="1"/>
      <c r="B523" s="22">
        <v>522</v>
      </c>
      <c r="C523" s="22" t="s">
        <v>2191</v>
      </c>
      <c r="D523" s="22" t="s">
        <v>13</v>
      </c>
      <c r="E523" s="22" t="s">
        <v>2192</v>
      </c>
      <c r="F523" s="22" t="str">
        <f ca="1">IFERROR(__xludf.DUMMYFUNCTION("GOOGLETRANSLATE(E523,""ar"",""en"")"),"Nana Flowers Marketing Center")</f>
        <v>Nana Flowers Marketing Center</v>
      </c>
      <c r="G523" s="22" t="s">
        <v>3585</v>
      </c>
      <c r="H523" s="24" t="s">
        <v>3587</v>
      </c>
      <c r="I523" s="22" t="s">
        <v>3684</v>
      </c>
      <c r="J523" s="5" t="str">
        <f ca="1">IFERROR(__xludf.DUMMYFUNCTION("GOOGLETRANSLATE(G523,""ar"",""en"")"),"Al-Tabishi")</f>
        <v>Al-Tabishi</v>
      </c>
      <c r="K523" s="5">
        <v>545067270</v>
      </c>
      <c r="L523" s="5"/>
      <c r="M523" s="5" t="str">
        <f ca="1">IFERROR(__xludf.DUMMYFUNCTION("GOOGLETRANSLATE(J523,""ar"",""en"")"),"#VALUE!")</f>
        <v>#VALUE!</v>
      </c>
      <c r="N523" s="6" t="s">
        <v>2193</v>
      </c>
      <c r="O523" s="10" t="s">
        <v>2194</v>
      </c>
    </row>
    <row r="524" spans="1:15" ht="20.100000000000001" customHeight="1" thickTop="1" thickBot="1">
      <c r="A524" s="1"/>
      <c r="B524" s="22">
        <v>523</v>
      </c>
      <c r="C524" s="22" t="s">
        <v>2195</v>
      </c>
      <c r="D524" s="22" t="s">
        <v>13</v>
      </c>
      <c r="E524" s="23" t="s">
        <v>2196</v>
      </c>
      <c r="F524" s="22" t="str">
        <f ca="1">IFERROR(__xludf.DUMMYFUNCTION("GOOGLETRANSLATE(E524,""ar"",""en"")"),"Shamoukh Al-Khalidiyah Foundation")</f>
        <v>Shamoukh Al-Khalidiyah Foundation</v>
      </c>
      <c r="G524" s="22" t="s">
        <v>3585</v>
      </c>
      <c r="H524" s="24" t="s">
        <v>3587</v>
      </c>
      <c r="I524" s="22" t="s">
        <v>3684</v>
      </c>
      <c r="J524" s="5" t="str">
        <f ca="1">IFERROR(__xludf.DUMMYFUNCTION("GOOGLETRANSLATE(G524,""ar"",""en"")"),"Al-Tabishi")</f>
        <v>Al-Tabishi</v>
      </c>
      <c r="K524" s="11"/>
      <c r="L524" s="11"/>
      <c r="M524" s="5" t="str">
        <f ca="1">IFERROR(__xludf.DUMMYFUNCTION("GOOGLETRANSLATE(J524,""ar"",""en"")"),"#VALUE!")</f>
        <v>#VALUE!</v>
      </c>
      <c r="N524" s="12" t="s">
        <v>2197</v>
      </c>
      <c r="O524" s="10" t="s">
        <v>2198</v>
      </c>
    </row>
    <row r="525" spans="1:15" ht="20.100000000000001" customHeight="1" thickTop="1" thickBot="1">
      <c r="A525" s="1"/>
      <c r="B525" s="22">
        <v>524</v>
      </c>
      <c r="C525" s="22" t="s">
        <v>2199</v>
      </c>
      <c r="D525" s="22" t="s">
        <v>13</v>
      </c>
      <c r="E525" s="22" t="s">
        <v>2200</v>
      </c>
      <c r="F525" s="22" t="str">
        <f ca="1">IFERROR(__xludf.DUMMYFUNCTION("GOOGLETRANSLATE(E525,""ar"",""en"")"),"Rawad Al-Khairat Supplies")</f>
        <v>Rawad Al-Khairat Supplies</v>
      </c>
      <c r="G525" s="22" t="s">
        <v>3585</v>
      </c>
      <c r="H525" s="24" t="s">
        <v>3587</v>
      </c>
      <c r="I525" s="22" t="s">
        <v>3684</v>
      </c>
      <c r="J525" s="5" t="str">
        <f ca="1">IFERROR(__xludf.DUMMYFUNCTION("GOOGLETRANSLATE(G525,""ar"",""en"")"),"Al-Tabishi")</f>
        <v>Al-Tabishi</v>
      </c>
      <c r="K525" s="5">
        <v>557054548</v>
      </c>
      <c r="L525" s="5"/>
      <c r="M525" s="5" t="str">
        <f ca="1">IFERROR(__xludf.DUMMYFUNCTION("GOOGLETRANSLATE(J525,""ar"",""en"")"),"#VALUE!")</f>
        <v>#VALUE!</v>
      </c>
      <c r="N525" s="6" t="s">
        <v>2201</v>
      </c>
      <c r="O525" s="10" t="s">
        <v>2202</v>
      </c>
    </row>
    <row r="526" spans="1:15" ht="20.100000000000001" customHeight="1" thickTop="1" thickBot="1">
      <c r="A526" s="1"/>
      <c r="B526" s="22">
        <v>525</v>
      </c>
      <c r="C526" s="22" t="s">
        <v>2203</v>
      </c>
      <c r="D526" s="22" t="s">
        <v>13</v>
      </c>
      <c r="E526" s="23" t="s">
        <v>2204</v>
      </c>
      <c r="F526" s="22" t="str">
        <f ca="1">IFERROR(__xludf.DUMMYFUNCTION("GOOGLETRANSLATE(E526,""ar"",""en"")"),"Autumn Dawn Supplies")</f>
        <v>Autumn Dawn Supplies</v>
      </c>
      <c r="G526" s="22" t="s">
        <v>3585</v>
      </c>
      <c r="H526" s="24" t="s">
        <v>3587</v>
      </c>
      <c r="I526" s="22" t="s">
        <v>3684</v>
      </c>
      <c r="J526" s="5" t="str">
        <f ca="1">IFERROR(__xludf.DUMMYFUNCTION("GOOGLETRANSLATE(G526,""ar"",""en"")"),"Al-Tabishi")</f>
        <v>Al-Tabishi</v>
      </c>
      <c r="K526" s="11">
        <v>532361009</v>
      </c>
      <c r="L526" s="11" t="s">
        <v>899</v>
      </c>
      <c r="M526" s="5" t="str">
        <f ca="1">IFERROR(__xludf.DUMMYFUNCTION("GOOGLETRANSLATE(J526,""ar"",""en"")"),"Abu Sultan")</f>
        <v>Abu Sultan</v>
      </c>
      <c r="N526" s="12" t="s">
        <v>2205</v>
      </c>
      <c r="O526" s="10" t="s">
        <v>2206</v>
      </c>
    </row>
    <row r="527" spans="1:15" ht="20.100000000000001" customHeight="1" thickTop="1" thickBot="1">
      <c r="A527" s="1"/>
      <c r="B527" s="22">
        <v>526</v>
      </c>
      <c r="C527" s="22" t="s">
        <v>2207</v>
      </c>
      <c r="D527" s="22" t="s">
        <v>13</v>
      </c>
      <c r="E527" s="22" t="s">
        <v>2208</v>
      </c>
      <c r="F527" s="22" t="str">
        <f ca="1">IFERROR(__xludf.DUMMYFUNCTION("GOOGLETRANSLATE(E527,""ar"",""en"")"),"Al Dana Supermarkets")</f>
        <v>Al Dana Supermarkets</v>
      </c>
      <c r="G527" s="22" t="s">
        <v>3585</v>
      </c>
      <c r="H527" s="24" t="s">
        <v>3587</v>
      </c>
      <c r="I527" s="22" t="s">
        <v>3684</v>
      </c>
      <c r="J527" s="5" t="str">
        <f ca="1">IFERROR(__xludf.DUMMYFUNCTION("GOOGLETRANSLATE(G527,""ar"",""en"")"),"Al-Tabishi")</f>
        <v>Al-Tabishi</v>
      </c>
      <c r="K527" s="5">
        <v>570669769</v>
      </c>
      <c r="L527" s="5"/>
      <c r="M527" s="5" t="str">
        <f ca="1">IFERROR(__xludf.DUMMYFUNCTION("GOOGLETRANSLATE(J527,""ar"",""en"")"),"#VALUE!")</f>
        <v>#VALUE!</v>
      </c>
      <c r="N527" s="6" t="s">
        <v>2209</v>
      </c>
      <c r="O527" s="10" t="s">
        <v>2210</v>
      </c>
    </row>
    <row r="528" spans="1:15" ht="20.100000000000001" customHeight="1" thickTop="1" thickBot="1">
      <c r="A528" s="1"/>
      <c r="B528" s="22">
        <v>527</v>
      </c>
      <c r="C528" s="22" t="s">
        <v>2211</v>
      </c>
      <c r="D528" s="22" t="s">
        <v>13</v>
      </c>
      <c r="E528" s="23" t="s">
        <v>2212</v>
      </c>
      <c r="F528" s="22" t="str">
        <f ca="1">IFERROR(__xludf.DUMMYFUNCTION("GOOGLETRANSLATE(E528,""ar"",""en"")"),"Khairat Zadna Grocery")</f>
        <v>Khairat Zadna Grocery</v>
      </c>
      <c r="G528" s="22" t="s">
        <v>3585</v>
      </c>
      <c r="H528" s="24" t="s">
        <v>3587</v>
      </c>
      <c r="I528" s="23" t="s">
        <v>3672</v>
      </c>
      <c r="J528" s="5" t="str">
        <f ca="1">IFERROR(__xludf.DUMMYFUNCTION("GOOGLETRANSLATE(G528,""ar"",""en"")"),"Mohammed")</f>
        <v>Mohammed</v>
      </c>
      <c r="K528" s="11"/>
      <c r="L528" s="11"/>
      <c r="M528" s="5" t="str">
        <f ca="1">IFERROR(__xludf.DUMMYFUNCTION("GOOGLETRANSLATE(J528,""ar"",""en"")"),"#VALUE!")</f>
        <v>#VALUE!</v>
      </c>
      <c r="N528" s="12" t="s">
        <v>2213</v>
      </c>
      <c r="O528" s="10" t="s">
        <v>2214</v>
      </c>
    </row>
    <row r="529" spans="1:15" ht="20.100000000000001" customHeight="1" thickTop="1" thickBot="1">
      <c r="A529" s="1"/>
      <c r="B529" s="22">
        <v>528</v>
      </c>
      <c r="C529" s="22" t="s">
        <v>2215</v>
      </c>
      <c r="D529" s="22" t="s">
        <v>13</v>
      </c>
      <c r="E529" s="22" t="s">
        <v>2216</v>
      </c>
      <c r="F529" s="22" t="str">
        <f ca="1">IFERROR(__xludf.DUMMYFUNCTION("GOOGLETRANSLATE(E529,""ar"",""en"")"),"Eid Abdullah Al-Mutairi Grocery")</f>
        <v>Eid Abdullah Al-Mutairi Grocery</v>
      </c>
      <c r="G529" s="22" t="s">
        <v>3585</v>
      </c>
      <c r="H529" s="24" t="s">
        <v>3587</v>
      </c>
      <c r="I529" s="22" t="s">
        <v>3672</v>
      </c>
      <c r="J529" s="5" t="str">
        <f ca="1">IFERROR(__xludf.DUMMYFUNCTION("GOOGLETRANSLATE(G529,""ar"",""en"")"),"Mohammed")</f>
        <v>Mohammed</v>
      </c>
      <c r="K529" s="5">
        <v>548630753</v>
      </c>
      <c r="L529" s="5"/>
      <c r="M529" s="5" t="str">
        <f ca="1">IFERROR(__xludf.DUMMYFUNCTION("GOOGLETRANSLATE(J529,""ar"",""en"")"),"#VALUE!")</f>
        <v>#VALUE!</v>
      </c>
      <c r="N529" s="6" t="s">
        <v>2217</v>
      </c>
      <c r="O529" s="10" t="s">
        <v>2218</v>
      </c>
    </row>
    <row r="530" spans="1:15" ht="20.100000000000001" customHeight="1" thickTop="1" thickBot="1">
      <c r="A530" s="1"/>
      <c r="B530" s="22">
        <v>529</v>
      </c>
      <c r="C530" s="22" t="s">
        <v>2219</v>
      </c>
      <c r="D530" s="22" t="s">
        <v>13</v>
      </c>
      <c r="E530" s="23" t="s">
        <v>2220</v>
      </c>
      <c r="F530" s="22" t="str">
        <f ca="1">IFERROR(__xludf.DUMMYFUNCTION("GOOGLETRANSLATE(E530,""ar"",""en"")"),"Tamira House Supplies")</f>
        <v>Tamira House Supplies</v>
      </c>
      <c r="G530" s="22" t="s">
        <v>3585</v>
      </c>
      <c r="H530" s="24" t="s">
        <v>3587</v>
      </c>
      <c r="I530" s="23" t="s">
        <v>3672</v>
      </c>
      <c r="J530" s="5" t="str">
        <f ca="1">IFERROR(__xludf.DUMMYFUNCTION("GOOGLETRANSLATE(G530,""ar"",""en"")"),"Mohammed")</f>
        <v>Mohammed</v>
      </c>
      <c r="K530" s="11">
        <v>532751023</v>
      </c>
      <c r="L530" s="11"/>
      <c r="M530" s="5" t="str">
        <f ca="1">IFERROR(__xludf.DUMMYFUNCTION("GOOGLETRANSLATE(J530,""ar"",""en"")"),"#VALUE!")</f>
        <v>#VALUE!</v>
      </c>
      <c r="N530" s="12" t="s">
        <v>2221</v>
      </c>
      <c r="O530" s="10" t="s">
        <v>2222</v>
      </c>
    </row>
    <row r="531" spans="1:15" ht="20.100000000000001" customHeight="1" thickTop="1" thickBot="1">
      <c r="A531" s="1"/>
      <c r="B531" s="22">
        <v>530</v>
      </c>
      <c r="C531" s="22" t="s">
        <v>2223</v>
      </c>
      <c r="D531" s="22" t="s">
        <v>13</v>
      </c>
      <c r="E531" s="22" t="s">
        <v>2224</v>
      </c>
      <c r="F531" s="22" t="str">
        <f ca="1">IFERROR(__xludf.DUMMYFUNCTION("GOOGLETRANSLATE(E531,""ar"",""en"")"),"White proximity grocery")</f>
        <v>White proximity grocery</v>
      </c>
      <c r="G531" s="22" t="s">
        <v>3585</v>
      </c>
      <c r="H531" s="24" t="s">
        <v>3587</v>
      </c>
      <c r="I531" s="22" t="s">
        <v>3672</v>
      </c>
      <c r="J531" s="5" t="str">
        <f ca="1">IFERROR(__xludf.DUMMYFUNCTION("GOOGLETRANSLATE(G531,""ar"",""en"")"),"Mohammed")</f>
        <v>Mohammed</v>
      </c>
      <c r="K531" s="5">
        <v>532837215</v>
      </c>
      <c r="L531" s="5" t="s">
        <v>294</v>
      </c>
      <c r="M531" s="5" t="str">
        <f ca="1">IFERROR(__xludf.DUMMYFUNCTION("GOOGLETRANSLATE(J531,""ar"",""en"")"),"Mohammed")</f>
        <v>Mohammed</v>
      </c>
      <c r="N531" s="6" t="s">
        <v>2225</v>
      </c>
      <c r="O531" s="10" t="s">
        <v>2226</v>
      </c>
    </row>
    <row r="532" spans="1:15" ht="20.100000000000001" customHeight="1" thickTop="1" thickBot="1">
      <c r="A532" s="1"/>
      <c r="B532" s="22">
        <v>531</v>
      </c>
      <c r="C532" s="22" t="s">
        <v>2227</v>
      </c>
      <c r="D532" s="22" t="s">
        <v>13</v>
      </c>
      <c r="E532" s="23" t="s">
        <v>2228</v>
      </c>
      <c r="F532" s="22" t="str">
        <f ca="1">IFERROR(__xludf.DUMMYFUNCTION("GOOGLETRANSLATE(E532,""ar"",""en"")"),"Hanan Abdulrahman Mohammed Al-Saqr's Supplies")</f>
        <v>Hanan Abdulrahman Mohammed Al-Saqr's Supplies</v>
      </c>
      <c r="G532" s="22" t="s">
        <v>3585</v>
      </c>
      <c r="H532" s="24" t="s">
        <v>3587</v>
      </c>
      <c r="I532" s="23" t="s">
        <v>3659</v>
      </c>
      <c r="J532" s="5" t="str">
        <f ca="1">IFERROR(__xludf.DUMMYFUNCTION("GOOGLETRANSLATE(G532,""ar"",""en"")"),"Nasiriyah")</f>
        <v>Nasiriyah</v>
      </c>
      <c r="K532" s="11">
        <v>535168107</v>
      </c>
      <c r="L532" s="11"/>
      <c r="M532" s="5" t="str">
        <f ca="1">IFERROR(__xludf.DUMMYFUNCTION("GOOGLETRANSLATE(J532,""ar"",""en"")"),"#VALUE!")</f>
        <v>#VALUE!</v>
      </c>
      <c r="N532" s="12" t="s">
        <v>2229</v>
      </c>
      <c r="O532" s="10" t="s">
        <v>2230</v>
      </c>
    </row>
    <row r="533" spans="1:15" ht="20.100000000000001" customHeight="1" thickTop="1" thickBot="1">
      <c r="A533" s="1"/>
      <c r="B533" s="22">
        <v>532</v>
      </c>
      <c r="C533" s="22" t="s">
        <v>2231</v>
      </c>
      <c r="D533" s="22" t="s">
        <v>13</v>
      </c>
      <c r="E533" s="22" t="s">
        <v>2232</v>
      </c>
      <c r="F533" s="22" t="str">
        <f ca="1">IFERROR(__xludf.DUMMYFUNCTION("GOOGLETRANSLATE(E533,""ar"",""en"")"),"Himmat Al Arab Company")</f>
        <v>Himmat Al Arab Company</v>
      </c>
      <c r="G533" s="22" t="s">
        <v>3585</v>
      </c>
      <c r="H533" s="24" t="s">
        <v>3587</v>
      </c>
      <c r="I533" s="22" t="s">
        <v>3660</v>
      </c>
      <c r="J533" s="5" t="str">
        <f ca="1">IFERROR(__xludf.DUMMYFUNCTION("GOOGLETRANSLATE(G533,""ar"",""en"")"),"Abdullah")</f>
        <v>Abdullah</v>
      </c>
      <c r="K533" s="5">
        <v>554976530</v>
      </c>
      <c r="L533" s="5"/>
      <c r="M533" s="5" t="str">
        <f ca="1">IFERROR(__xludf.DUMMYFUNCTION("GOOGLETRANSLATE(J533,""ar"",""en"")"),"#VALUE!")</f>
        <v>#VALUE!</v>
      </c>
      <c r="N533" s="6" t="s">
        <v>2233</v>
      </c>
      <c r="O533" s="10" t="s">
        <v>2234</v>
      </c>
    </row>
    <row r="534" spans="1:15" ht="20.100000000000001" customHeight="1" thickTop="1" thickBot="1">
      <c r="A534" s="1"/>
      <c r="B534" s="22">
        <v>533</v>
      </c>
      <c r="C534" s="22" t="s">
        <v>2235</v>
      </c>
      <c r="D534" s="22" t="s">
        <v>13</v>
      </c>
      <c r="E534" s="23" t="s">
        <v>2236</v>
      </c>
      <c r="F534" s="22" t="str">
        <f ca="1">IFERROR(__xludf.DUMMYFUNCTION("GOOGLETRANSLATE(E534,""ar"",""en"")"),"Ruqaya Muhammad Al-Jassem's shop")</f>
        <v>Ruqaya Muhammad Al-Jassem's shop</v>
      </c>
      <c r="G534" s="22" t="s">
        <v>3585</v>
      </c>
      <c r="H534" s="24" t="s">
        <v>3587</v>
      </c>
      <c r="I534" s="23" t="s">
        <v>3661</v>
      </c>
      <c r="J534" s="5" t="str">
        <f ca="1">IFERROR(__xludf.DUMMYFUNCTION("GOOGLETRANSLATE(G534,""ar"",""en"")"),"The park")</f>
        <v>The park</v>
      </c>
      <c r="K534" s="11"/>
      <c r="L534" s="11"/>
      <c r="M534" s="5" t="str">
        <f ca="1">IFERROR(__xludf.DUMMYFUNCTION("GOOGLETRANSLATE(J534,""ar"",""en"")"),"#VALUE!")</f>
        <v>#VALUE!</v>
      </c>
      <c r="N534" s="12" t="s">
        <v>2237</v>
      </c>
      <c r="O534" s="10" t="s">
        <v>2238</v>
      </c>
    </row>
    <row r="535" spans="1:15" ht="20.100000000000001" customHeight="1" thickTop="1" thickBot="1">
      <c r="A535" s="1"/>
      <c r="B535" s="22">
        <v>534</v>
      </c>
      <c r="C535" s="22" t="s">
        <v>2239</v>
      </c>
      <c r="D535" s="22" t="s">
        <v>13</v>
      </c>
      <c r="E535" s="22" t="s">
        <v>2240</v>
      </c>
      <c r="F535" s="22" t="str">
        <f ca="1">IFERROR(__xludf.DUMMYFUNCTION("GOOGLETRANSLATE(E535,""ar"",""en"")"),"Customer Service Supplies")</f>
        <v>Customer Service Supplies</v>
      </c>
      <c r="G535" s="22" t="s">
        <v>3585</v>
      </c>
      <c r="H535" s="24" t="s">
        <v>3587</v>
      </c>
      <c r="I535" s="23" t="s">
        <v>3661</v>
      </c>
      <c r="J535" s="5" t="str">
        <f ca="1">IFERROR(__xludf.DUMMYFUNCTION("GOOGLETRANSLATE(G535,""ar"",""en"")"),"The park")</f>
        <v>The park</v>
      </c>
      <c r="K535" s="5">
        <v>595942492</v>
      </c>
      <c r="L535" s="5"/>
      <c r="M535" s="5" t="str">
        <f ca="1">IFERROR(__xludf.DUMMYFUNCTION("GOOGLETRANSLATE(J535,""ar"",""en"")"),"#VALUE!")</f>
        <v>#VALUE!</v>
      </c>
      <c r="N535" s="6" t="s">
        <v>2241</v>
      </c>
      <c r="O535" s="10" t="s">
        <v>2242</v>
      </c>
    </row>
    <row r="536" spans="1:15" ht="20.100000000000001" customHeight="1" thickTop="1" thickBot="1">
      <c r="A536" s="1"/>
      <c r="B536" s="22">
        <v>535</v>
      </c>
      <c r="C536" s="22" t="s">
        <v>2243</v>
      </c>
      <c r="D536" s="22" t="s">
        <v>13</v>
      </c>
      <c r="E536" s="23" t="s">
        <v>2244</v>
      </c>
      <c r="F536" s="22" t="str">
        <f ca="1">IFERROR(__xludf.DUMMYFUNCTION("GOOGLETRANSLATE(E536,""ar"",""en"")"),"Durrat Al Muntazah")</f>
        <v>Durrat Al Muntazah</v>
      </c>
      <c r="G536" s="22" t="s">
        <v>3585</v>
      </c>
      <c r="H536" s="24" t="s">
        <v>3587</v>
      </c>
      <c r="I536" s="23" t="s">
        <v>3661</v>
      </c>
      <c r="J536" s="5" t="str">
        <f ca="1">IFERROR(__xludf.DUMMYFUNCTION("GOOGLETRANSLATE(G536,""ar"",""en"")"),"The park")</f>
        <v>The park</v>
      </c>
      <c r="K536" s="11"/>
      <c r="L536" s="11"/>
      <c r="M536" s="5" t="str">
        <f ca="1">IFERROR(__xludf.DUMMYFUNCTION("GOOGLETRANSLATE(J536,""ar"",""en"")"),"#VALUE!")</f>
        <v>#VALUE!</v>
      </c>
      <c r="N536" s="12" t="s">
        <v>2245</v>
      </c>
      <c r="O536" s="10" t="s">
        <v>2246</v>
      </c>
    </row>
    <row r="537" spans="1:15" ht="20.100000000000001" customHeight="1" thickTop="1" thickBot="1">
      <c r="A537" s="1"/>
      <c r="B537" s="22">
        <v>536</v>
      </c>
      <c r="C537" s="22" t="s">
        <v>2247</v>
      </c>
      <c r="D537" s="22" t="s">
        <v>13</v>
      </c>
      <c r="E537" s="22" t="s">
        <v>2248</v>
      </c>
      <c r="F537" s="22" t="str">
        <f ca="1">IFERROR(__xludf.DUMMYFUNCTION("GOOGLETRANSLATE(E537,""ar"",""en"")"),"Qouz Markets")</f>
        <v>Qouz Markets</v>
      </c>
      <c r="G537" s="22" t="s">
        <v>3585</v>
      </c>
      <c r="H537" s="24" t="s">
        <v>3587</v>
      </c>
      <c r="I537" s="23" t="s">
        <v>3661</v>
      </c>
      <c r="J537" s="5" t="str">
        <f ca="1">IFERROR(__xludf.DUMMYFUNCTION("GOOGLETRANSLATE(G537,""ar"",""en"")"),"The park")</f>
        <v>The park</v>
      </c>
      <c r="K537" s="5">
        <v>536553481</v>
      </c>
      <c r="L537" s="5" t="s">
        <v>2249</v>
      </c>
      <c r="M537" s="5" t="str">
        <f ca="1">IFERROR(__xludf.DUMMYFUNCTION("GOOGLETRANSLATE(J537,""ar"",""en"")"),"Saleh Al-Mahri")</f>
        <v>Saleh Al-Mahri</v>
      </c>
      <c r="N537" s="6" t="s">
        <v>2250</v>
      </c>
      <c r="O537" s="10" t="s">
        <v>2251</v>
      </c>
    </row>
    <row r="538" spans="1:15" ht="20.100000000000001" customHeight="1" thickTop="1" thickBot="1">
      <c r="A538" s="1"/>
      <c r="B538" s="22">
        <v>537</v>
      </c>
      <c r="C538" s="22" t="s">
        <v>2252</v>
      </c>
      <c r="D538" s="22" t="s">
        <v>13</v>
      </c>
      <c r="E538" s="23" t="s">
        <v>2253</v>
      </c>
      <c r="F538" s="22" t="str">
        <f ca="1">IFERROR(__xludf.DUMMYFUNCTION("GOOGLETRANSLATE(E538,""ar"",""en"")"),"Noor Al-Zad 2")</f>
        <v>Noor Al-Zad 2</v>
      </c>
      <c r="G538" s="22" t="s">
        <v>3585</v>
      </c>
      <c r="H538" s="24" t="s">
        <v>3587</v>
      </c>
      <c r="I538" s="22" t="s">
        <v>3662</v>
      </c>
      <c r="J538" s="5" t="str">
        <f ca="1">IFERROR(__xludf.DUMMYFUNCTION("GOOGLETRANSLATE(G538,""ar"",""en"")"),"picnic")</f>
        <v>picnic</v>
      </c>
      <c r="K538" s="11"/>
      <c r="L538" s="11"/>
      <c r="M538" s="5" t="str">
        <f ca="1">IFERROR(__xludf.DUMMYFUNCTION("GOOGLETRANSLATE(J538,""ar"",""en"")"),"#VALUE!")</f>
        <v>#VALUE!</v>
      </c>
      <c r="N538" s="12" t="s">
        <v>2254</v>
      </c>
      <c r="O538" s="10" t="s">
        <v>2255</v>
      </c>
    </row>
    <row r="539" spans="1:15" ht="20.100000000000001" customHeight="1" thickTop="1" thickBot="1">
      <c r="A539" s="1"/>
      <c r="B539" s="22">
        <v>538</v>
      </c>
      <c r="C539" s="22" t="s">
        <v>2256</v>
      </c>
      <c r="D539" s="22" t="s">
        <v>13</v>
      </c>
      <c r="E539" s="22" t="s">
        <v>2257</v>
      </c>
      <c r="F539" s="22" t="str">
        <f ca="1">IFERROR(__xludf.DUMMYFUNCTION("GOOGLETRANSLATE(E539,""ar"",""en"")"),"The Best Purchases Supplies")</f>
        <v>The Best Purchases Supplies</v>
      </c>
      <c r="G539" s="22" t="s">
        <v>3585</v>
      </c>
      <c r="H539" s="24" t="s">
        <v>3587</v>
      </c>
      <c r="I539" s="22" t="s">
        <v>3662</v>
      </c>
      <c r="J539" s="5" t="str">
        <f ca="1">IFERROR(__xludf.DUMMYFUNCTION("GOOGLETRANSLATE(G539,""ar"",""en"")"),"picnic")</f>
        <v>picnic</v>
      </c>
      <c r="K539" s="5">
        <v>550904063</v>
      </c>
      <c r="L539" s="5"/>
      <c r="M539" s="5" t="str">
        <f ca="1">IFERROR(__xludf.DUMMYFUNCTION("GOOGLETRANSLATE(J539,""ar"",""en"")"),"#VALUE!")</f>
        <v>#VALUE!</v>
      </c>
      <c r="N539" s="6" t="s">
        <v>2258</v>
      </c>
      <c r="O539" s="10" t="s">
        <v>2259</v>
      </c>
    </row>
    <row r="540" spans="1:15" ht="20.100000000000001" customHeight="1" thickTop="1" thickBot="1">
      <c r="A540" s="1"/>
      <c r="B540" s="22">
        <v>539</v>
      </c>
      <c r="C540" s="22" t="s">
        <v>2260</v>
      </c>
      <c r="D540" s="22" t="s">
        <v>13</v>
      </c>
      <c r="E540" s="23" t="s">
        <v>2261</v>
      </c>
      <c r="F540" s="22" t="str">
        <f ca="1">IFERROR(__xludf.DUMMYFUNCTION("GOOGLETRANSLATE(E540,""ar"",""en"")"),"Adwaa Ya Hala 2 Markets")</f>
        <v>Adwaa Ya Hala 2 Markets</v>
      </c>
      <c r="G540" s="22" t="s">
        <v>3585</v>
      </c>
      <c r="H540" s="24" t="s">
        <v>3587</v>
      </c>
      <c r="I540" s="22" t="s">
        <v>3662</v>
      </c>
      <c r="J540" s="5" t="str">
        <f ca="1">IFERROR(__xludf.DUMMYFUNCTION("GOOGLETRANSLATE(G540,""ar"",""en"")"),"picnic")</f>
        <v>picnic</v>
      </c>
      <c r="K540" s="11"/>
      <c r="L540" s="11"/>
      <c r="M540" s="5" t="str">
        <f ca="1">IFERROR(__xludf.DUMMYFUNCTION("GOOGLETRANSLATE(J540,""ar"",""en"")"),"#VALUE!")</f>
        <v>#VALUE!</v>
      </c>
      <c r="N540" s="12" t="s">
        <v>2262</v>
      </c>
      <c r="O540" s="10" t="s">
        <v>2263</v>
      </c>
    </row>
    <row r="541" spans="1:15" ht="20.100000000000001" customHeight="1" thickTop="1" thickBot="1">
      <c r="A541" s="1"/>
      <c r="B541" s="22">
        <v>540</v>
      </c>
      <c r="C541" s="22" t="s">
        <v>2264</v>
      </c>
      <c r="D541" s="22" t="s">
        <v>13</v>
      </c>
      <c r="E541" s="22" t="s">
        <v>2265</v>
      </c>
      <c r="F541" s="22" t="str">
        <f ca="1">IFERROR(__xludf.DUMMYFUNCTION("GOOGLETRANSLATE(E541,""ar"",""en"")"),"Hala Markets and Bakeries")</f>
        <v>Hala Markets and Bakeries</v>
      </c>
      <c r="G541" s="22" t="s">
        <v>3585</v>
      </c>
      <c r="H541" s="24" t="s">
        <v>3587</v>
      </c>
      <c r="I541" s="22" t="s">
        <v>3662</v>
      </c>
      <c r="J541" s="5" t="str">
        <f ca="1">IFERROR(__xludf.DUMMYFUNCTION("GOOGLETRANSLATE(G541,""ar"",""en"")"),"picnic")</f>
        <v>picnic</v>
      </c>
      <c r="K541" s="5"/>
      <c r="L541" s="5"/>
      <c r="M541" s="5" t="str">
        <f ca="1">IFERROR(__xludf.DUMMYFUNCTION("GOOGLETRANSLATE(J541,""ar"",""en"")"),"#VALUE!")</f>
        <v>#VALUE!</v>
      </c>
      <c r="N541" s="6" t="s">
        <v>2266</v>
      </c>
      <c r="O541" s="10" t="s">
        <v>2267</v>
      </c>
    </row>
    <row r="542" spans="1:15" ht="20.100000000000001" customHeight="1" thickTop="1" thickBot="1">
      <c r="A542" s="1"/>
      <c r="B542" s="22">
        <v>541</v>
      </c>
      <c r="C542" s="22" t="s">
        <v>2268</v>
      </c>
      <c r="D542" s="22" t="s">
        <v>13</v>
      </c>
      <c r="E542" s="23" t="s">
        <v>2269</v>
      </c>
      <c r="F542" s="22" t="str">
        <f ca="1">IFERROR(__xludf.DUMMYFUNCTION("GOOGLETRANSLATE(E542,""ar"",""en"")"),"Al Washam Marketing Center")</f>
        <v>Al Washam Marketing Center</v>
      </c>
      <c r="G542" s="22" t="s">
        <v>3585</v>
      </c>
      <c r="H542" s="24" t="s">
        <v>3587</v>
      </c>
      <c r="I542" s="22" t="s">
        <v>3660</v>
      </c>
      <c r="J542" s="5" t="str">
        <f ca="1">IFERROR(__xludf.DUMMYFUNCTION("GOOGLETRANSLATE(G542,""ar"",""en"")"),"Abdullah")</f>
        <v>Abdullah</v>
      </c>
      <c r="K542" s="11">
        <v>555857120</v>
      </c>
      <c r="L542" s="11" t="s">
        <v>2270</v>
      </c>
      <c r="M542" s="5" t="str">
        <f ca="1">IFERROR(__xludf.DUMMYFUNCTION("GOOGLETRANSLATE(J542,""ar"",""en"")"),"Yasin")</f>
        <v>Yasin</v>
      </c>
      <c r="N542" s="12" t="s">
        <v>2271</v>
      </c>
      <c r="O542" s="10" t="s">
        <v>2272</v>
      </c>
    </row>
    <row r="543" spans="1:15" ht="20.100000000000001" customHeight="1" thickTop="1" thickBot="1">
      <c r="A543" s="1"/>
      <c r="B543" s="22">
        <v>542</v>
      </c>
      <c r="C543" s="22" t="s">
        <v>2273</v>
      </c>
      <c r="D543" s="22" t="s">
        <v>13</v>
      </c>
      <c r="E543" s="22" t="s">
        <v>2274</v>
      </c>
      <c r="F543" s="22" t="str">
        <f ca="1">IFERROR(__xludf.DUMMYFUNCTION("GOOGLETRANSLATE(E543,""ar"",""en"")"),"Yahla Lights Markets and Bakeries")</f>
        <v>Yahla Lights Markets and Bakeries</v>
      </c>
      <c r="G543" s="22" t="s">
        <v>3585</v>
      </c>
      <c r="H543" s="24" t="s">
        <v>3587</v>
      </c>
      <c r="I543" s="22" t="s">
        <v>3660</v>
      </c>
      <c r="J543" s="5" t="str">
        <f ca="1">IFERROR(__xludf.DUMMYFUNCTION("GOOGLETRANSLATE(G543,""ar"",""en"")"),"Abdullah")</f>
        <v>Abdullah</v>
      </c>
      <c r="K543" s="5">
        <v>503762825</v>
      </c>
      <c r="L543" s="5" t="s">
        <v>2275</v>
      </c>
      <c r="M543" s="5" t="str">
        <f ca="1">IFERROR(__xludf.DUMMYFUNCTION("GOOGLETRANSLATE(J543,""ar"",""en"")"),"Abu Osama")</f>
        <v>Abu Osama</v>
      </c>
      <c r="N543" s="6" t="s">
        <v>2276</v>
      </c>
      <c r="O543" s="10" t="s">
        <v>2277</v>
      </c>
    </row>
    <row r="544" spans="1:15" ht="20.100000000000001" customHeight="1" thickTop="1" thickBot="1">
      <c r="A544" s="1"/>
      <c r="B544" s="22">
        <v>543</v>
      </c>
      <c r="C544" s="22" t="s">
        <v>2278</v>
      </c>
      <c r="D544" s="22" t="s">
        <v>13</v>
      </c>
      <c r="E544" s="23" t="s">
        <v>2279</v>
      </c>
      <c r="F544" s="22" t="str">
        <f ca="1">IFERROR(__xludf.DUMMYFUNCTION("GOOGLETRANSLATE(E544,""ar"",""en"")"),"Beit Al Anwar Grocery")</f>
        <v>Beit Al Anwar Grocery</v>
      </c>
      <c r="G544" s="22" t="s">
        <v>3585</v>
      </c>
      <c r="H544" s="24" t="s">
        <v>3587</v>
      </c>
      <c r="I544" s="22" t="s">
        <v>3660</v>
      </c>
      <c r="J544" s="5" t="str">
        <f ca="1">IFERROR(__xludf.DUMMYFUNCTION("GOOGLETRANSLATE(G544,""ar"",""en"")"),"Abdullah")</f>
        <v>Abdullah</v>
      </c>
      <c r="K544" s="11"/>
      <c r="L544" s="11"/>
      <c r="M544" s="5" t="str">
        <f ca="1">IFERROR(__xludf.DUMMYFUNCTION("GOOGLETRANSLATE(J544,""ar"",""en"")"),"#VALUE!")</f>
        <v>#VALUE!</v>
      </c>
      <c r="N544" s="12" t="s">
        <v>2280</v>
      </c>
      <c r="O544" s="10" t="s">
        <v>2281</v>
      </c>
    </row>
    <row r="545" spans="1:15" ht="20.100000000000001" customHeight="1" thickTop="1" thickBot="1">
      <c r="A545" s="1"/>
      <c r="B545" s="22">
        <v>544</v>
      </c>
      <c r="C545" s="22" t="s">
        <v>2282</v>
      </c>
      <c r="D545" s="22" t="s">
        <v>13</v>
      </c>
      <c r="E545" s="22" t="s">
        <v>648</v>
      </c>
      <c r="F545" s="22" t="str">
        <f ca="1">IFERROR(__xludf.DUMMYFUNCTION("GOOGLETRANSLATE(E545,""ar"",""en"")"),"Najoum Al Khairat Company")</f>
        <v>Najoum Al Khairat Company</v>
      </c>
      <c r="G545" s="22" t="s">
        <v>3585</v>
      </c>
      <c r="H545" s="24" t="s">
        <v>3587</v>
      </c>
      <c r="I545" s="22" t="s">
        <v>3660</v>
      </c>
      <c r="J545" s="5" t="str">
        <f ca="1">IFERROR(__xludf.DUMMYFUNCTION("GOOGLETRANSLATE(G545,""ar"",""en"")"),"Abdullah")</f>
        <v>Abdullah</v>
      </c>
      <c r="K545" s="5">
        <v>507255730</v>
      </c>
      <c r="L545" s="5" t="s">
        <v>2283</v>
      </c>
      <c r="M545" s="5" t="str">
        <f ca="1">IFERROR(__xludf.DUMMYFUNCTION("GOOGLETRANSLATE(J545,""ar"",""en"")"),"Abu Ammar")</f>
        <v>Abu Ammar</v>
      </c>
      <c r="N545" s="6" t="s">
        <v>2284</v>
      </c>
      <c r="O545" s="10" t="s">
        <v>2285</v>
      </c>
    </row>
    <row r="546" spans="1:15" ht="20.100000000000001" customHeight="1" thickTop="1" thickBot="1">
      <c r="A546" s="1"/>
      <c r="B546" s="22">
        <v>545</v>
      </c>
      <c r="C546" s="22" t="s">
        <v>2286</v>
      </c>
      <c r="D546" s="22" t="s">
        <v>13</v>
      </c>
      <c r="E546" s="23" t="s">
        <v>2287</v>
      </c>
      <c r="F546" s="22" t="str">
        <f ca="1">IFERROR(__xludf.DUMMYFUNCTION("GOOGLETRANSLATE(E546,""ar"",""en"")"),"Jarallah Ibrahim Hussein Al-Qahtani Provisions")</f>
        <v>Jarallah Ibrahim Hussein Al-Qahtani Provisions</v>
      </c>
      <c r="G546" s="22" t="s">
        <v>3585</v>
      </c>
      <c r="H546" s="24" t="s">
        <v>3587</v>
      </c>
      <c r="I546" s="22" t="s">
        <v>3660</v>
      </c>
      <c r="J546" s="5" t="str">
        <f ca="1">IFERROR(__xludf.DUMMYFUNCTION("GOOGLETRANSLATE(G546,""ar"",""en"")"),"Abdullah")</f>
        <v>Abdullah</v>
      </c>
      <c r="K546" s="11">
        <v>503942592</v>
      </c>
      <c r="L546" s="11"/>
      <c r="M546" s="5" t="str">
        <f ca="1">IFERROR(__xludf.DUMMYFUNCTION("GOOGLETRANSLATE(J546,""ar"",""en"")"),"#VALUE!")</f>
        <v>#VALUE!</v>
      </c>
      <c r="N546" s="12" t="s">
        <v>2288</v>
      </c>
      <c r="O546" s="10" t="s">
        <v>2289</v>
      </c>
    </row>
    <row r="547" spans="1:15" ht="20.100000000000001" customHeight="1" thickTop="1" thickBot="1">
      <c r="A547" s="1"/>
      <c r="B547" s="22">
        <v>546</v>
      </c>
      <c r="C547" s="22" t="s">
        <v>2290</v>
      </c>
      <c r="D547" s="22" t="s">
        <v>13</v>
      </c>
      <c r="E547" s="22" t="s">
        <v>2291</v>
      </c>
      <c r="F547" s="22" t="str">
        <f ca="1">IFERROR(__xludf.DUMMYFUNCTION("GOOGLETRANSLATE(E547,""ar"",""en"")"),"Enchanting Waves Supplies")</f>
        <v>Enchanting Waves Supplies</v>
      </c>
      <c r="G547" s="22" t="s">
        <v>3585</v>
      </c>
      <c r="H547" s="24" t="s">
        <v>3587</v>
      </c>
      <c r="I547" s="22" t="s">
        <v>3660</v>
      </c>
      <c r="J547" s="5" t="str">
        <f ca="1">IFERROR(__xludf.DUMMYFUNCTION("GOOGLETRANSLATE(G547,""ar"",""en"")"),"Abdullah")</f>
        <v>Abdullah</v>
      </c>
      <c r="K547" s="5">
        <v>559464548</v>
      </c>
      <c r="L547" s="5"/>
      <c r="M547" s="5" t="str">
        <f ca="1">IFERROR(__xludf.DUMMYFUNCTION("GOOGLETRANSLATE(J547,""ar"",""en"")"),"#VALUE!")</f>
        <v>#VALUE!</v>
      </c>
      <c r="N547" s="6" t="s">
        <v>2292</v>
      </c>
      <c r="O547" s="10" t="s">
        <v>2293</v>
      </c>
    </row>
    <row r="548" spans="1:15" ht="20.100000000000001" customHeight="1" thickTop="1" thickBot="1">
      <c r="A548" s="1"/>
      <c r="B548" s="22">
        <v>547</v>
      </c>
      <c r="C548" s="22" t="s">
        <v>2294</v>
      </c>
      <c r="D548" s="22" t="s">
        <v>13</v>
      </c>
      <c r="E548" s="23" t="s">
        <v>2295</v>
      </c>
      <c r="F548" s="22" t="str">
        <f ca="1">IFERROR(__xludf.DUMMYFUNCTION("GOOGLETRANSLATE(E548,""ar"",""en"")"),"Wellness Seeds Supplies")</f>
        <v>Wellness Seeds Supplies</v>
      </c>
      <c r="G548" s="22" t="s">
        <v>3585</v>
      </c>
      <c r="H548" s="24" t="s">
        <v>3587</v>
      </c>
      <c r="I548" s="23" t="s">
        <v>3663</v>
      </c>
      <c r="J548" s="5" t="str">
        <f ca="1">IFERROR(__xludf.DUMMYFUNCTION("GOOGLETRANSLATE(G548,""ar"",""en"")"),"Vehicles")</f>
        <v>Vehicles</v>
      </c>
      <c r="K548" s="11">
        <v>533847860</v>
      </c>
      <c r="L548" s="11" t="s">
        <v>2296</v>
      </c>
      <c r="M548" s="5" t="str">
        <f ca="1">IFERROR(__xludf.DUMMYFUNCTION("GOOGLETRANSLATE(J548,""ar"",""en"")"),"Abu Abdullah")</f>
        <v>Abu Abdullah</v>
      </c>
      <c r="N548" s="12" t="s">
        <v>2297</v>
      </c>
      <c r="O548" s="10" t="s">
        <v>2298</v>
      </c>
    </row>
    <row r="549" spans="1:15" ht="20.100000000000001" customHeight="1" thickTop="1" thickBot="1">
      <c r="A549" s="1"/>
      <c r="B549" s="22">
        <v>548</v>
      </c>
      <c r="C549" s="22" t="s">
        <v>2299</v>
      </c>
      <c r="D549" s="22" t="s">
        <v>13</v>
      </c>
      <c r="E549" s="22" t="s">
        <v>2300</v>
      </c>
      <c r="F549" s="22" t="str">
        <f ca="1">IFERROR(__xludf.DUMMYFUNCTION("GOOGLETRANSLATE(E549,""ar"",""en"")"),"Good Happiness Supplies")</f>
        <v>Good Happiness Supplies</v>
      </c>
      <c r="G549" s="22" t="s">
        <v>3585</v>
      </c>
      <c r="H549" s="24" t="s">
        <v>3587</v>
      </c>
      <c r="I549" s="23" t="s">
        <v>3663</v>
      </c>
      <c r="J549" s="5" t="str">
        <f ca="1">IFERROR(__xludf.DUMMYFUNCTION("GOOGLETRANSLATE(G549,""ar"",""en"")"),"Vehicles")</f>
        <v>Vehicles</v>
      </c>
      <c r="K549" s="5">
        <v>545893111</v>
      </c>
      <c r="L549" s="5"/>
      <c r="M549" s="5" t="str">
        <f ca="1">IFERROR(__xludf.DUMMYFUNCTION("GOOGLETRANSLATE(J549,""ar"",""en"")"),"#VALUE!")</f>
        <v>#VALUE!</v>
      </c>
      <c r="N549" s="6" t="s">
        <v>2301</v>
      </c>
      <c r="O549" s="10" t="s">
        <v>2302</v>
      </c>
    </row>
    <row r="550" spans="1:15" ht="20.100000000000001" customHeight="1" thickTop="1" thickBot="1">
      <c r="A550" s="1"/>
      <c r="B550" s="22">
        <v>549</v>
      </c>
      <c r="C550" s="22" t="s">
        <v>2303</v>
      </c>
      <c r="D550" s="22" t="s">
        <v>13</v>
      </c>
      <c r="E550" s="23" t="s">
        <v>2304</v>
      </c>
      <c r="F550" s="22" t="str">
        <f ca="1">IFERROR(__xludf.DUMMYFUNCTION("GOOGLETRANSLATE(E550,""ar"",""en"")"),"Zad Al Nas Supplies")</f>
        <v>Zad Al Nas Supplies</v>
      </c>
      <c r="G550" s="22" t="s">
        <v>3585</v>
      </c>
      <c r="H550" s="24" t="s">
        <v>3587</v>
      </c>
      <c r="I550" s="23" t="s">
        <v>3663</v>
      </c>
      <c r="J550" s="5" t="str">
        <f ca="1">IFERROR(__xludf.DUMMYFUNCTION("GOOGLETRANSLATE(G550,""ar"",""en"")"),"Vehicles")</f>
        <v>Vehicles</v>
      </c>
      <c r="K550" s="11">
        <v>556575928</v>
      </c>
      <c r="L550" s="11" t="s">
        <v>2305</v>
      </c>
      <c r="M550" s="5" t="str">
        <f ca="1">IFERROR(__xludf.DUMMYFUNCTION("GOOGLETRANSLATE(J550,""ar"",""en"")"),"Abu Mashal")</f>
        <v>Abu Mashal</v>
      </c>
      <c r="N550" s="12" t="s">
        <v>2306</v>
      </c>
      <c r="O550" s="10" t="s">
        <v>2307</v>
      </c>
    </row>
    <row r="551" spans="1:15" ht="20.100000000000001" customHeight="1" thickTop="1" thickBot="1">
      <c r="A551" s="1"/>
      <c r="B551" s="22">
        <v>550</v>
      </c>
      <c r="C551" s="22" t="s">
        <v>2308</v>
      </c>
      <c r="D551" s="22" t="s">
        <v>13</v>
      </c>
      <c r="E551" s="22" t="s">
        <v>2309</v>
      </c>
      <c r="F551" s="22" t="str">
        <f ca="1">IFERROR(__xludf.DUMMYFUNCTION("GOOGLETRANSLATE(E551,""ar"",""en"")"),"Basket of pride")</f>
        <v>Basket of pride</v>
      </c>
      <c r="G551" s="22" t="s">
        <v>3585</v>
      </c>
      <c r="H551" s="24" t="s">
        <v>3587</v>
      </c>
      <c r="I551" s="23" t="s">
        <v>3663</v>
      </c>
      <c r="J551" s="5" t="str">
        <f ca="1">IFERROR(__xludf.DUMMYFUNCTION("GOOGLETRANSLATE(G551,""ar"",""en"")"),"Vehicles")</f>
        <v>Vehicles</v>
      </c>
      <c r="K551" s="5">
        <v>503426282</v>
      </c>
      <c r="L551" s="5"/>
      <c r="M551" s="5" t="str">
        <f ca="1">IFERROR(__xludf.DUMMYFUNCTION("GOOGLETRANSLATE(J551,""ar"",""en"")"),"#VALUE!")</f>
        <v>#VALUE!</v>
      </c>
      <c r="N551" s="6" t="s">
        <v>2310</v>
      </c>
      <c r="O551" s="10" t="s">
        <v>2311</v>
      </c>
    </row>
    <row r="552" spans="1:15" ht="20.100000000000001" customHeight="1" thickTop="1" thickBot="1">
      <c r="A552" s="1"/>
      <c r="B552" s="22">
        <v>551</v>
      </c>
      <c r="C552" s="22" t="s">
        <v>2312</v>
      </c>
      <c r="D552" s="22" t="s">
        <v>13</v>
      </c>
      <c r="E552" s="23" t="s">
        <v>2313</v>
      </c>
      <c r="F552" s="22" t="str">
        <f ca="1">IFERROR(__xludf.DUMMYFUNCTION("GOOGLETRANSLATE(E552,""ar"",""en"")"),"Rawanak Al Yasmin Foundation")</f>
        <v>Rawanak Al Yasmin Foundation</v>
      </c>
      <c r="G552" s="22" t="s">
        <v>3585</v>
      </c>
      <c r="H552" s="24" t="s">
        <v>3587</v>
      </c>
      <c r="I552" s="23" t="s">
        <v>3663</v>
      </c>
      <c r="J552" s="5" t="str">
        <f ca="1">IFERROR(__xludf.DUMMYFUNCTION("GOOGLETRANSLATE(G552,""ar"",""en"")"),"Vehicles")</f>
        <v>Vehicles</v>
      </c>
      <c r="K552" s="11"/>
      <c r="L552" s="11"/>
      <c r="M552" s="5" t="str">
        <f ca="1">IFERROR(__xludf.DUMMYFUNCTION("GOOGLETRANSLATE(J552,""ar"",""en"")"),"#VALUE!")</f>
        <v>#VALUE!</v>
      </c>
      <c r="N552" s="12" t="s">
        <v>2314</v>
      </c>
      <c r="O552" s="10" t="s">
        <v>2315</v>
      </c>
    </row>
    <row r="553" spans="1:15" ht="20.100000000000001" customHeight="1" thickTop="1" thickBot="1">
      <c r="A553" s="1"/>
      <c r="B553" s="22">
        <v>552</v>
      </c>
      <c r="C553" s="22" t="s">
        <v>2316</v>
      </c>
      <c r="D553" s="22" t="s">
        <v>13</v>
      </c>
      <c r="E553" s="22" t="s">
        <v>2317</v>
      </c>
      <c r="F553" s="22" t="str">
        <f ca="1">IFERROR(__xludf.DUMMYFUNCTION("GOOGLETRANSLATE(E553,""ar"",""en"")"),"Nawader Al-Sari'a Foundation")</f>
        <v>Nawader Al-Sari'a Foundation</v>
      </c>
      <c r="G553" s="22" t="s">
        <v>3585</v>
      </c>
      <c r="H553" s="24" t="s">
        <v>3587</v>
      </c>
      <c r="I553" s="23" t="s">
        <v>3663</v>
      </c>
      <c r="J553" s="5" t="str">
        <f ca="1">IFERROR(__xludf.DUMMYFUNCTION("GOOGLETRANSLATE(G553,""ar"",""en"")"),"Vehicles")</f>
        <v>Vehicles</v>
      </c>
      <c r="K553" s="5"/>
      <c r="L553" s="5"/>
      <c r="M553" s="5" t="str">
        <f ca="1">IFERROR(__xludf.DUMMYFUNCTION("GOOGLETRANSLATE(J553,""ar"",""en"")"),"#VALUE!")</f>
        <v>#VALUE!</v>
      </c>
      <c r="N553" s="6" t="s">
        <v>2318</v>
      </c>
      <c r="O553" s="10" t="s">
        <v>2319</v>
      </c>
    </row>
    <row r="554" spans="1:15" ht="20.100000000000001" customHeight="1" thickTop="1" thickBot="1">
      <c r="A554" s="1"/>
      <c r="B554" s="22">
        <v>553</v>
      </c>
      <c r="C554" s="22" t="s">
        <v>2320</v>
      </c>
      <c r="D554" s="22" t="s">
        <v>13</v>
      </c>
      <c r="E554" s="23" t="s">
        <v>1360</v>
      </c>
      <c r="F554" s="22" t="str">
        <f ca="1">IFERROR(__xludf.DUMMYFUNCTION("GOOGLETRANSLATE(E554,""ar"",""en"")"),"Fatima's Supplies")</f>
        <v>Fatima's Supplies</v>
      </c>
      <c r="G554" s="22" t="s">
        <v>3585</v>
      </c>
      <c r="H554" s="24" t="s">
        <v>3587</v>
      </c>
      <c r="I554" s="23" t="s">
        <v>3663</v>
      </c>
      <c r="J554" s="5" t="str">
        <f ca="1">IFERROR(__xludf.DUMMYFUNCTION("GOOGLETRANSLATE(G554,""ar"",""en"")"),"Vehicles")</f>
        <v>Vehicles</v>
      </c>
      <c r="K554" s="11">
        <v>503460944</v>
      </c>
      <c r="L554" s="11"/>
      <c r="M554" s="5" t="str">
        <f ca="1">IFERROR(__xludf.DUMMYFUNCTION("GOOGLETRANSLATE(J554,""ar"",""en"")"),"#VALUE!")</f>
        <v>#VALUE!</v>
      </c>
      <c r="N554" s="12" t="s">
        <v>2321</v>
      </c>
      <c r="O554" s="10" t="s">
        <v>2322</v>
      </c>
    </row>
    <row r="555" spans="1:15" ht="20.100000000000001" customHeight="1" thickTop="1" thickBot="1">
      <c r="A555" s="1"/>
      <c r="B555" s="22">
        <v>554</v>
      </c>
      <c r="C555" s="22" t="s">
        <v>2323</v>
      </c>
      <c r="D555" s="22" t="s">
        <v>13</v>
      </c>
      <c r="E555" s="22" t="s">
        <v>2324</v>
      </c>
      <c r="F555" s="22" t="str">
        <f ca="1">IFERROR(__xludf.DUMMYFUNCTION("GOOGLETRANSLATE(E555,""ar"",""en"")"),"Mona Mardi Bin Nayel Al-Anzi's Supplies")</f>
        <v>Mona Mardi Bin Nayel Al-Anzi's Supplies</v>
      </c>
      <c r="G555" s="22" t="s">
        <v>3585</v>
      </c>
      <c r="H555" s="24" t="s">
        <v>3587</v>
      </c>
      <c r="I555" s="23" t="s">
        <v>3663</v>
      </c>
      <c r="J555" s="5" t="str">
        <f ca="1">IFERROR(__xludf.DUMMYFUNCTION("GOOGLETRANSLATE(G555,""ar"",""en"")"),"Vehicles")</f>
        <v>Vehicles</v>
      </c>
      <c r="K555" s="5"/>
      <c r="L555" s="5"/>
      <c r="M555" s="5" t="str">
        <f ca="1">IFERROR(__xludf.DUMMYFUNCTION("GOOGLETRANSLATE(J555,""ar"",""en"")"),"#VALUE!")</f>
        <v>#VALUE!</v>
      </c>
      <c r="N555" s="6" t="s">
        <v>2325</v>
      </c>
      <c r="O555" s="10" t="s">
        <v>2326</v>
      </c>
    </row>
    <row r="556" spans="1:15" ht="20.100000000000001" customHeight="1" thickTop="1" thickBot="1">
      <c r="A556" s="1"/>
      <c r="B556" s="22">
        <v>555</v>
      </c>
      <c r="C556" s="22" t="s">
        <v>2327</v>
      </c>
      <c r="D556" s="22" t="s">
        <v>13</v>
      </c>
      <c r="E556" s="23" t="s">
        <v>2328</v>
      </c>
      <c r="F556" s="22" t="str">
        <f ca="1">IFERROR(__xludf.DUMMYFUNCTION("GOOGLETRANSLATE(E556,""ar"",""en"")"),"Suburban Cart Supplies")</f>
        <v>Suburban Cart Supplies</v>
      </c>
      <c r="G556" s="22" t="s">
        <v>3585</v>
      </c>
      <c r="H556" s="24" t="s">
        <v>3587</v>
      </c>
      <c r="I556" s="23" t="s">
        <v>3663</v>
      </c>
      <c r="J556" s="5" t="str">
        <f ca="1">IFERROR(__xludf.DUMMYFUNCTION("GOOGLETRANSLATE(G556,""ar"",""en"")"),"Vehicles")</f>
        <v>Vehicles</v>
      </c>
      <c r="K556" s="11">
        <v>590029302</v>
      </c>
      <c r="L556" s="11" t="s">
        <v>294</v>
      </c>
      <c r="M556" s="5" t="str">
        <f ca="1">IFERROR(__xludf.DUMMYFUNCTION("GOOGLETRANSLATE(J556,""ar"",""en"")"),"Mohammed")</f>
        <v>Mohammed</v>
      </c>
      <c r="N556" s="12" t="s">
        <v>2329</v>
      </c>
      <c r="O556" s="10" t="s">
        <v>2330</v>
      </c>
    </row>
    <row r="557" spans="1:15" ht="20.100000000000001" customHeight="1" thickTop="1" thickBot="1">
      <c r="A557" s="1"/>
      <c r="B557" s="22">
        <v>556</v>
      </c>
      <c r="C557" s="22" t="s">
        <v>2331</v>
      </c>
      <c r="D557" s="22" t="s">
        <v>13</v>
      </c>
      <c r="E557" s="22" t="s">
        <v>2332</v>
      </c>
      <c r="F557" s="22" t="str">
        <f ca="1">IFERROR(__xludf.DUMMYFUNCTION("GOOGLETRANSLATE(E557,""ar"",""en"")"),"Suburbs Savings Supplies")</f>
        <v>Suburbs Savings Supplies</v>
      </c>
      <c r="G557" s="22" t="s">
        <v>3585</v>
      </c>
      <c r="H557" s="24" t="s">
        <v>3587</v>
      </c>
      <c r="I557" s="23" t="s">
        <v>3663</v>
      </c>
      <c r="J557" s="5" t="str">
        <f ca="1">IFERROR(__xludf.DUMMYFUNCTION("GOOGLETRANSLATE(G557,""ar"",""en"")"),"Vehicles")</f>
        <v>Vehicles</v>
      </c>
      <c r="K557" s="5">
        <v>534258695</v>
      </c>
      <c r="L557" s="5"/>
      <c r="M557" s="5" t="str">
        <f ca="1">IFERROR(__xludf.DUMMYFUNCTION("GOOGLETRANSLATE(J557,""ar"",""en"")"),"#VALUE!")</f>
        <v>#VALUE!</v>
      </c>
      <c r="N557" s="6" t="s">
        <v>2333</v>
      </c>
      <c r="O557" s="10" t="s">
        <v>2334</v>
      </c>
    </row>
    <row r="558" spans="1:15" ht="20.100000000000001" customHeight="1" thickTop="1" thickBot="1">
      <c r="A558" s="1"/>
      <c r="B558" s="22">
        <v>557</v>
      </c>
      <c r="C558" s="22" t="s">
        <v>2335</v>
      </c>
      <c r="D558" s="22" t="s">
        <v>13</v>
      </c>
      <c r="E558" s="23" t="s">
        <v>2336</v>
      </c>
      <c r="F558" s="22" t="str">
        <f ca="1">IFERROR(__xludf.DUMMYFUNCTION("GOOGLETRANSLATE(E558,""ar"",""en"")"),"Daily Corner Foundation")</f>
        <v>Daily Corner Foundation</v>
      </c>
      <c r="G558" s="22" t="s">
        <v>3585</v>
      </c>
      <c r="H558" s="24" t="s">
        <v>3587</v>
      </c>
      <c r="I558" s="23" t="s">
        <v>3663</v>
      </c>
      <c r="J558" s="5" t="str">
        <f ca="1">IFERROR(__xludf.DUMMYFUNCTION("GOOGLETRANSLATE(G558,""ar"",""en"")"),"Vehicles")</f>
        <v>Vehicles</v>
      </c>
      <c r="K558" s="11"/>
      <c r="L558" s="11"/>
      <c r="M558" s="5" t="str">
        <f ca="1">IFERROR(__xludf.DUMMYFUNCTION("GOOGLETRANSLATE(J558,""ar"",""en"")"),"#VALUE!")</f>
        <v>#VALUE!</v>
      </c>
      <c r="N558" s="12" t="s">
        <v>2337</v>
      </c>
      <c r="O558" s="10" t="s">
        <v>2338</v>
      </c>
    </row>
    <row r="559" spans="1:15" ht="20.100000000000001" customHeight="1" thickTop="1" thickBot="1">
      <c r="A559" s="1"/>
      <c r="B559" s="22">
        <v>558</v>
      </c>
      <c r="C559" s="22" t="s">
        <v>2339</v>
      </c>
      <c r="D559" s="22" t="s">
        <v>13</v>
      </c>
      <c r="E559" s="22" t="s">
        <v>2340</v>
      </c>
      <c r="F559" s="22" t="str">
        <f ca="1">IFERROR(__xludf.DUMMYFUNCTION("GOOGLETRANSLATE(E559,""ar"",""en"")"),"Najmat Al Dana Supermarkets")</f>
        <v>Najmat Al Dana Supermarkets</v>
      </c>
      <c r="G559" s="22" t="s">
        <v>3585</v>
      </c>
      <c r="H559" s="24" t="s">
        <v>3587</v>
      </c>
      <c r="I559" s="22" t="s">
        <v>3641</v>
      </c>
      <c r="J559" s="5" t="str">
        <f ca="1">IFERROR(__xludf.DUMMYFUNCTION("GOOGLETRANSLATE(G559,""ar"",""en"")"),"University students")</f>
        <v>University students</v>
      </c>
      <c r="K559" s="5">
        <v>550366964</v>
      </c>
      <c r="L559" s="5" t="s">
        <v>698</v>
      </c>
      <c r="M559" s="5" t="str">
        <f ca="1">IFERROR(__xludf.DUMMYFUNCTION("GOOGLETRANSLATE(J559,""ar"",""en"")"),"Abu Khalid")</f>
        <v>Abu Khalid</v>
      </c>
      <c r="N559" s="6" t="s">
        <v>2341</v>
      </c>
      <c r="O559" s="10" t="s">
        <v>2342</v>
      </c>
    </row>
    <row r="560" spans="1:15" ht="20.100000000000001" customHeight="1" thickTop="1" thickBot="1">
      <c r="A560" s="1"/>
      <c r="B560" s="22">
        <v>559</v>
      </c>
      <c r="C560" s="22" t="s">
        <v>2343</v>
      </c>
      <c r="D560" s="22" t="s">
        <v>13</v>
      </c>
      <c r="E560" s="23" t="s">
        <v>2344</v>
      </c>
      <c r="F560" s="22" t="str">
        <f ca="1">IFERROR(__xludf.DUMMYFUNCTION("GOOGLETRANSLATE(E560,""ar"",""en"")"),"Al-Huda Resources Foundation")</f>
        <v>Al-Huda Resources Foundation</v>
      </c>
      <c r="G560" s="22" t="s">
        <v>3585</v>
      </c>
      <c r="H560" s="24" t="s">
        <v>3587</v>
      </c>
      <c r="I560" s="23" t="s">
        <v>3035</v>
      </c>
      <c r="J560" s="5" t="str">
        <f ca="1">IFERROR(__xludf.DUMMYFUNCTION("GOOGLETRANSLATE(G560,""ar"",""en"")"),"Oasis")</f>
        <v>Oasis</v>
      </c>
      <c r="K560" s="11">
        <v>542549946</v>
      </c>
      <c r="L560" s="11" t="s">
        <v>2345</v>
      </c>
      <c r="M560" s="5" t="str">
        <f ca="1">IFERROR(__xludf.DUMMYFUNCTION("GOOGLETRANSLATE(J560,""ar"",""en"")"),"Marwan Al-Yafai")</f>
        <v>Marwan Al-Yafai</v>
      </c>
      <c r="N560" s="12" t="s">
        <v>2346</v>
      </c>
      <c r="O560" s="10" t="s">
        <v>2347</v>
      </c>
    </row>
    <row r="561" spans="1:15" ht="20.100000000000001" customHeight="1" thickTop="1" thickBot="1">
      <c r="A561" s="1"/>
      <c r="B561" s="22">
        <v>560</v>
      </c>
      <c r="C561" s="22" t="s">
        <v>2348</v>
      </c>
      <c r="D561" s="22" t="s">
        <v>13</v>
      </c>
      <c r="E561" s="22" t="s">
        <v>2349</v>
      </c>
      <c r="F561" s="22" t="str">
        <f ca="1">IFERROR(__xludf.DUMMYFUNCTION("GOOGLETRANSLATE(E561,""ar"",""en"")"),"Upper Gate Supermarkets")</f>
        <v>Upper Gate Supermarkets</v>
      </c>
      <c r="G561" s="22" t="s">
        <v>3585</v>
      </c>
      <c r="H561" s="24" t="s">
        <v>3587</v>
      </c>
      <c r="I561" s="23" t="s">
        <v>3035</v>
      </c>
      <c r="J561" s="5" t="str">
        <f ca="1">IFERROR(__xludf.DUMMYFUNCTION("GOOGLETRANSLATE(G561,""ar"",""en"")"),"Oasis")</f>
        <v>Oasis</v>
      </c>
      <c r="K561" s="5"/>
      <c r="L561" s="5"/>
      <c r="M561" s="5" t="str">
        <f ca="1">IFERROR(__xludf.DUMMYFUNCTION("GOOGLETRANSLATE(J561,""ar"",""en"")"),"#VALUE!")</f>
        <v>#VALUE!</v>
      </c>
      <c r="N561" s="6" t="s">
        <v>2350</v>
      </c>
      <c r="O561" s="10" t="s">
        <v>2351</v>
      </c>
    </row>
    <row r="562" spans="1:15" ht="20.100000000000001" customHeight="1" thickTop="1" thickBot="1">
      <c r="A562" s="1"/>
      <c r="B562" s="22">
        <v>561</v>
      </c>
      <c r="C562" s="22" t="s">
        <v>2352</v>
      </c>
      <c r="D562" s="22" t="s">
        <v>13</v>
      </c>
      <c r="E562" s="23" t="s">
        <v>2353</v>
      </c>
      <c r="F562" s="22" t="str">
        <f ca="1">IFERROR(__xludf.DUMMYFUNCTION("GOOGLETRANSLATE(E562,""ar"",""en"")"),"Al Anoud Foundation")</f>
        <v>Al Anoud Foundation</v>
      </c>
      <c r="G562" s="22" t="s">
        <v>3585</v>
      </c>
      <c r="H562" s="24" t="s">
        <v>3587</v>
      </c>
      <c r="I562" s="23" t="s">
        <v>3600</v>
      </c>
      <c r="J562" s="5" t="str">
        <f ca="1">IFERROR(__xludf.DUMMYFUNCTION("GOOGLETRANSLATE(G562,""ar"",""en"")"),"paradise")</f>
        <v>paradise</v>
      </c>
      <c r="K562" s="11">
        <v>500158277</v>
      </c>
      <c r="L562" s="11" t="s">
        <v>2354</v>
      </c>
      <c r="M562" s="5" t="str">
        <f ca="1">IFERROR(__xludf.DUMMYFUNCTION("GOOGLETRANSLATE(J562,""ar"",""en"")"),"Abu Tamim")</f>
        <v>Abu Tamim</v>
      </c>
      <c r="N562" s="12" t="s">
        <v>2355</v>
      </c>
      <c r="O562" s="10" t="s">
        <v>2356</v>
      </c>
    </row>
    <row r="563" spans="1:15" ht="20.100000000000001" customHeight="1" thickTop="1" thickBot="1">
      <c r="A563" s="1"/>
      <c r="B563" s="22">
        <v>562</v>
      </c>
      <c r="C563" s="22" t="s">
        <v>2357</v>
      </c>
      <c r="D563" s="22" t="s">
        <v>13</v>
      </c>
      <c r="E563" s="22" t="s">
        <v>2358</v>
      </c>
      <c r="F563" s="22" t="str">
        <f ca="1">IFERROR(__xludf.DUMMYFUNCTION("GOOGLETRANSLATE(E563,""ar"",""en"")"),"Family increase")</f>
        <v>Family increase</v>
      </c>
      <c r="G563" s="22" t="s">
        <v>3585</v>
      </c>
      <c r="H563" s="24" t="s">
        <v>3587</v>
      </c>
      <c r="I563" s="23" t="s">
        <v>3600</v>
      </c>
      <c r="J563" s="5" t="str">
        <f ca="1">IFERROR(__xludf.DUMMYFUNCTION("GOOGLETRANSLATE(G563,""ar"",""en"")"),"paradise")</f>
        <v>paradise</v>
      </c>
      <c r="K563" s="5">
        <v>538379848</v>
      </c>
      <c r="L563" s="5" t="s">
        <v>294</v>
      </c>
      <c r="M563" s="5" t="str">
        <f ca="1">IFERROR(__xludf.DUMMYFUNCTION("GOOGLETRANSLATE(J563,""ar"",""en"")"),"Mohammed")</f>
        <v>Mohammed</v>
      </c>
      <c r="N563" s="6" t="s">
        <v>2359</v>
      </c>
      <c r="O563" s="10" t="s">
        <v>2360</v>
      </c>
    </row>
    <row r="564" spans="1:15" ht="20.100000000000001" customHeight="1" thickTop="1" thickBot="1">
      <c r="A564" s="1"/>
      <c r="B564" s="22">
        <v>563</v>
      </c>
      <c r="C564" s="22" t="s">
        <v>2361</v>
      </c>
      <c r="D564" s="22" t="s">
        <v>13</v>
      </c>
      <c r="E564" s="23" t="s">
        <v>2265</v>
      </c>
      <c r="F564" s="22" t="str">
        <f ca="1">IFERROR(__xludf.DUMMYFUNCTION("GOOGLETRANSLATE(E564,""ar"",""en"")"),"Hala Markets and Bakeries")</f>
        <v>Hala Markets and Bakeries</v>
      </c>
      <c r="G564" s="22" t="s">
        <v>3585</v>
      </c>
      <c r="H564" s="24" t="s">
        <v>3587</v>
      </c>
      <c r="I564" s="23" t="s">
        <v>3600</v>
      </c>
      <c r="J564" s="5" t="str">
        <f ca="1">IFERROR(__xludf.DUMMYFUNCTION("GOOGLETRANSLATE(G564,""ar"",""en"")"),"paradise")</f>
        <v>paradise</v>
      </c>
      <c r="K564" s="11"/>
      <c r="L564" s="11"/>
      <c r="M564" s="5" t="str">
        <f ca="1">IFERROR(__xludf.DUMMYFUNCTION("GOOGLETRANSLATE(J564,""ar"",""en"")"),"#VALUE!")</f>
        <v>#VALUE!</v>
      </c>
      <c r="N564" s="12" t="s">
        <v>2362</v>
      </c>
      <c r="O564" s="10" t="s">
        <v>2363</v>
      </c>
    </row>
    <row r="565" spans="1:15" ht="20.100000000000001" customHeight="1" thickTop="1" thickBot="1">
      <c r="A565" s="1"/>
      <c r="B565" s="22">
        <v>564</v>
      </c>
      <c r="C565" s="22" t="s">
        <v>2364</v>
      </c>
      <c r="D565" s="22" t="s">
        <v>13</v>
      </c>
      <c r="E565" s="22" t="s">
        <v>2365</v>
      </c>
      <c r="F565" s="22" t="str">
        <f ca="1">IFERROR(__xludf.DUMMYFUNCTION("GOOGLETRANSLATE(E565,""ar"",""en"")"),"Manahil Al Mawadda Foundation")</f>
        <v>Manahil Al Mawadda Foundation</v>
      </c>
      <c r="G565" s="22" t="s">
        <v>3585</v>
      </c>
      <c r="H565" s="24" t="s">
        <v>3587</v>
      </c>
      <c r="I565" s="23" t="s">
        <v>3035</v>
      </c>
      <c r="J565" s="5" t="str">
        <f ca="1">IFERROR(__xludf.DUMMYFUNCTION("GOOGLETRANSLATE(G565,""ar"",""en"")"),"Oasis")</f>
        <v>Oasis</v>
      </c>
      <c r="K565" s="5"/>
      <c r="L565" s="5"/>
      <c r="M565" s="5" t="str">
        <f ca="1">IFERROR(__xludf.DUMMYFUNCTION("GOOGLETRANSLATE(J565,""ar"",""en"")"),"#VALUE!")</f>
        <v>#VALUE!</v>
      </c>
      <c r="N565" s="6" t="s">
        <v>2366</v>
      </c>
      <c r="O565" s="10" t="s">
        <v>2367</v>
      </c>
    </row>
    <row r="566" spans="1:15" ht="20.100000000000001" customHeight="1" thickTop="1" thickBot="1">
      <c r="A566" s="1"/>
      <c r="B566" s="22">
        <v>565</v>
      </c>
      <c r="C566" s="22" t="s">
        <v>2368</v>
      </c>
      <c r="D566" s="22" t="s">
        <v>13</v>
      </c>
      <c r="E566" s="23" t="s">
        <v>2369</v>
      </c>
      <c r="F566" s="22" t="str">
        <f ca="1">IFERROR(__xludf.DUMMYFUNCTION("GOOGLETRANSLATE(E566,""ar"",""en"")"),"Al-Shuruq Al-Bayda Markets")</f>
        <v>Al-Shuruq Al-Bayda Markets</v>
      </c>
      <c r="G566" s="22" t="s">
        <v>3585</v>
      </c>
      <c r="H566" s="24" t="s">
        <v>3587</v>
      </c>
      <c r="I566" s="23" t="s">
        <v>3035</v>
      </c>
      <c r="J566" s="5" t="str">
        <f ca="1">IFERROR(__xludf.DUMMYFUNCTION("GOOGLETRANSLATE(G566,""ar"",""en"")"),"Oasis")</f>
        <v>Oasis</v>
      </c>
      <c r="K566" s="11">
        <v>559975549</v>
      </c>
      <c r="L566" s="11"/>
      <c r="M566" s="5" t="str">
        <f ca="1">IFERROR(__xludf.DUMMYFUNCTION("GOOGLETRANSLATE(J566,""ar"",""en"")"),"#VALUE!")</f>
        <v>#VALUE!</v>
      </c>
      <c r="N566" s="12" t="s">
        <v>2370</v>
      </c>
      <c r="O566" s="10" t="s">
        <v>2371</v>
      </c>
    </row>
    <row r="567" spans="1:15" ht="20.100000000000001" customHeight="1" thickTop="1" thickBot="1">
      <c r="A567" s="1"/>
      <c r="B567" s="22">
        <v>566</v>
      </c>
      <c r="C567" s="22" t="s">
        <v>2372</v>
      </c>
      <c r="D567" s="22" t="s">
        <v>13</v>
      </c>
      <c r="E567" s="22" t="s">
        <v>2373</v>
      </c>
      <c r="F567" s="22" t="str">
        <f ca="1">IFERROR(__xludf.DUMMYFUNCTION("GOOGLETRANSLATE(E567,""ar"",""en"")"),"Hala Economic Jewel")</f>
        <v>Hala Economic Jewel</v>
      </c>
      <c r="G567" s="22" t="s">
        <v>3585</v>
      </c>
      <c r="H567" s="24" t="s">
        <v>3587</v>
      </c>
      <c r="I567" s="22" t="s">
        <v>3611</v>
      </c>
      <c r="J567" s="5" t="str">
        <f ca="1">IFERROR(__xludf.DUMMYFUNCTION("GOOGLETRANSLATE(G567,""ar"",""en"")"),"Kindergarten")</f>
        <v>Kindergarten</v>
      </c>
      <c r="K567" s="5">
        <v>556040919</v>
      </c>
      <c r="L567" s="5" t="s">
        <v>2374</v>
      </c>
      <c r="M567" s="5" t="str">
        <f ca="1">IFERROR(__xludf.DUMMYFUNCTION("GOOGLETRANSLATE(J567,""ar"",""en"")"),"Jaber")</f>
        <v>Jaber</v>
      </c>
      <c r="N567" s="6" t="s">
        <v>2375</v>
      </c>
      <c r="O567" s="10" t="s">
        <v>2376</v>
      </c>
    </row>
    <row r="568" spans="1:15" ht="20.100000000000001" customHeight="1" thickTop="1" thickBot="1">
      <c r="A568" s="1"/>
      <c r="B568" s="22">
        <v>567</v>
      </c>
      <c r="C568" s="22" t="s">
        <v>2377</v>
      </c>
      <c r="D568" s="22" t="s">
        <v>13</v>
      </c>
      <c r="E568" s="23" t="s">
        <v>2378</v>
      </c>
      <c r="F568" s="22" t="str">
        <f ca="1">IFERROR(__xludf.DUMMYFUNCTION("GOOGLETRANSLATE(E568,""ar"",""en"")"),"Al-Joud Caravan Supplies")</f>
        <v>Al-Joud Caravan Supplies</v>
      </c>
      <c r="G568" s="22" t="s">
        <v>3585</v>
      </c>
      <c r="H568" s="24" t="s">
        <v>3587</v>
      </c>
      <c r="I568" s="22" t="s">
        <v>3611</v>
      </c>
      <c r="J568" s="5" t="str">
        <f ca="1">IFERROR(__xludf.DUMMYFUNCTION("GOOGLETRANSLATE(G568,""ar"",""en"")"),"Kindergarten")</f>
        <v>Kindergarten</v>
      </c>
      <c r="K568" s="11">
        <v>535708627</v>
      </c>
      <c r="L568" s="11"/>
      <c r="M568" s="5" t="str">
        <f ca="1">IFERROR(__xludf.DUMMYFUNCTION("GOOGLETRANSLATE(J568,""ar"",""en"")"),"#VALUE!")</f>
        <v>#VALUE!</v>
      </c>
      <c r="N568" s="12" t="s">
        <v>2379</v>
      </c>
      <c r="O568" s="10" t="s">
        <v>2380</v>
      </c>
    </row>
    <row r="569" spans="1:15" ht="20.100000000000001" customHeight="1" thickTop="1" thickBot="1">
      <c r="A569" s="1"/>
      <c r="B569" s="22">
        <v>568</v>
      </c>
      <c r="C569" s="22" t="s">
        <v>2381</v>
      </c>
      <c r="D569" s="22" t="s">
        <v>13</v>
      </c>
      <c r="E569" s="22" t="s">
        <v>2382</v>
      </c>
      <c r="F569" s="22" t="str">
        <f ca="1">IFERROR(__xludf.DUMMYFUNCTION("GOOGLETRANSLATE(E569,""ar"",""en"")"),"Al-Mana Center")</f>
        <v>Al-Mana Center</v>
      </c>
      <c r="G569" s="22" t="s">
        <v>3585</v>
      </c>
      <c r="H569" s="24" t="s">
        <v>3587</v>
      </c>
      <c r="I569" s="22" t="s">
        <v>3611</v>
      </c>
      <c r="J569" s="5" t="str">
        <f ca="1">IFERROR(__xludf.DUMMYFUNCTION("GOOGLETRANSLATE(G569,""ar"",""en"")"),"Kindergarten")</f>
        <v>Kindergarten</v>
      </c>
      <c r="K569" s="5"/>
      <c r="L569" s="5"/>
      <c r="M569" s="5" t="str">
        <f ca="1">IFERROR(__xludf.DUMMYFUNCTION("GOOGLETRANSLATE(J569,""ar"",""en"")"),"#VALUE!")</f>
        <v>#VALUE!</v>
      </c>
      <c r="N569" s="6" t="s">
        <v>2383</v>
      </c>
      <c r="O569" s="10" t="s">
        <v>2384</v>
      </c>
    </row>
    <row r="570" spans="1:15" ht="20.100000000000001" customHeight="1" thickTop="1" thickBot="1">
      <c r="A570" s="1"/>
      <c r="B570" s="22">
        <v>569</v>
      </c>
      <c r="C570" s="22" t="s">
        <v>2385</v>
      </c>
      <c r="D570" s="22" t="s">
        <v>13</v>
      </c>
      <c r="E570" s="23" t="s">
        <v>2386</v>
      </c>
      <c r="F570" s="22" t="str">
        <f ca="1">IFERROR(__xludf.DUMMYFUNCTION("GOOGLETRANSLATE(E570,""ar"",""en"")"),"Delta Gulf Markets Company")</f>
        <v>Delta Gulf Markets Company</v>
      </c>
      <c r="G570" s="22" t="s">
        <v>3585</v>
      </c>
      <c r="H570" s="24" t="s">
        <v>3587</v>
      </c>
      <c r="I570" s="22" t="s">
        <v>3611</v>
      </c>
      <c r="J570" s="5" t="str">
        <f ca="1">IFERROR(__xludf.DUMMYFUNCTION("GOOGLETRANSLATE(G570,""ar"",""en"")"),"Kindergarten")</f>
        <v>Kindergarten</v>
      </c>
      <c r="K570" s="11">
        <v>567460073</v>
      </c>
      <c r="L570" s="11" t="s">
        <v>361</v>
      </c>
      <c r="M570" s="5" t="str">
        <f ca="1">IFERROR(__xludf.DUMMYFUNCTION("GOOGLETRANSLATE(J570,""ar"",""en"")"),"Ahmed")</f>
        <v>Ahmed</v>
      </c>
      <c r="N570" s="12" t="s">
        <v>2387</v>
      </c>
      <c r="O570" s="10" t="s">
        <v>2388</v>
      </c>
    </row>
    <row r="571" spans="1:15" ht="20.100000000000001" customHeight="1" thickTop="1" thickBot="1">
      <c r="A571" s="1"/>
      <c r="B571" s="22">
        <v>570</v>
      </c>
      <c r="C571" s="22" t="s">
        <v>2389</v>
      </c>
      <c r="D571" s="22" t="s">
        <v>13</v>
      </c>
      <c r="E571" s="22" t="s">
        <v>2390</v>
      </c>
      <c r="F571" s="22" t="str">
        <f ca="1">IFERROR(__xludf.DUMMYFUNCTION("GOOGLETRANSLATE(E571,""ar"",""en"")"),"Central Ruins Foundation Markets")</f>
        <v>Central Ruins Foundation Markets</v>
      </c>
      <c r="G571" s="22" t="s">
        <v>3585</v>
      </c>
      <c r="H571" s="24" t="s">
        <v>3587</v>
      </c>
      <c r="I571" s="22" t="s">
        <v>3611</v>
      </c>
      <c r="J571" s="5" t="str">
        <f ca="1">IFERROR(__xludf.DUMMYFUNCTION("GOOGLETRANSLATE(G571,""ar"",""en"")"),"Kindergarten")</f>
        <v>Kindergarten</v>
      </c>
      <c r="K571" s="5">
        <v>505559261</v>
      </c>
      <c r="L571" s="5"/>
      <c r="M571" s="5" t="str">
        <f ca="1">IFERROR(__xludf.DUMMYFUNCTION("GOOGLETRANSLATE(J571,""ar"",""en"")"),"#VALUE!")</f>
        <v>#VALUE!</v>
      </c>
      <c r="N571" s="6" t="s">
        <v>2391</v>
      </c>
      <c r="O571" s="10" t="s">
        <v>2392</v>
      </c>
    </row>
    <row r="572" spans="1:15" ht="20.100000000000001" customHeight="1" thickTop="1" thickBot="1">
      <c r="A572" s="1"/>
      <c r="B572" s="22">
        <v>571</v>
      </c>
      <c r="C572" s="22" t="s">
        <v>2393</v>
      </c>
      <c r="D572" s="22" t="s">
        <v>13</v>
      </c>
      <c r="E572" s="23" t="s">
        <v>2394</v>
      </c>
      <c r="F572" s="22" t="str">
        <f ca="1">IFERROR(__xludf.DUMMYFUNCTION("GOOGLETRANSLATE(E572,""ar"",""en"")"),"Fatima Al-Manar Grocery")</f>
        <v>Fatima Al-Manar Grocery</v>
      </c>
      <c r="G572" s="22" t="s">
        <v>3585</v>
      </c>
      <c r="H572" s="24" t="s">
        <v>3587</v>
      </c>
      <c r="I572" s="22" t="s">
        <v>3611</v>
      </c>
      <c r="J572" s="5" t="str">
        <f ca="1">IFERROR(__xludf.DUMMYFUNCTION("GOOGLETRANSLATE(G572,""ar"",""en"")"),"Kindergarten")</f>
        <v>Kindergarten</v>
      </c>
      <c r="K572" s="11">
        <v>503994255</v>
      </c>
      <c r="L572" s="11"/>
      <c r="M572" s="5" t="str">
        <f ca="1">IFERROR(__xludf.DUMMYFUNCTION("GOOGLETRANSLATE(J572,""ar"",""en"")"),"#VALUE!")</f>
        <v>#VALUE!</v>
      </c>
      <c r="N572" s="12" t="s">
        <v>2395</v>
      </c>
      <c r="O572" s="10" t="s">
        <v>2396</v>
      </c>
    </row>
    <row r="573" spans="1:15" ht="20.100000000000001" customHeight="1" thickTop="1" thickBot="1">
      <c r="A573" s="1"/>
      <c r="B573" s="22">
        <v>572</v>
      </c>
      <c r="C573" s="22" t="s">
        <v>2397</v>
      </c>
      <c r="D573" s="22" t="s">
        <v>13</v>
      </c>
      <c r="E573" s="22" t="s">
        <v>2398</v>
      </c>
      <c r="F573" s="22" t="str">
        <f ca="1">IFERROR(__xludf.DUMMYFUNCTION("GOOGLETRANSLATE(E573,""ar"",""en"")"),"Today's grocery store")</f>
        <v>Today's grocery store</v>
      </c>
      <c r="G573" s="22" t="s">
        <v>3585</v>
      </c>
      <c r="H573" s="24" t="s">
        <v>3587</v>
      </c>
      <c r="I573" s="22" t="s">
        <v>3611</v>
      </c>
      <c r="J573" s="5" t="str">
        <f ca="1">IFERROR(__xludf.DUMMYFUNCTION("GOOGLETRANSLATE(G573,""ar"",""en"")"),"Kindergarten")</f>
        <v>Kindergarten</v>
      </c>
      <c r="K573" s="5"/>
      <c r="L573" s="5"/>
      <c r="M573" s="5" t="str">
        <f ca="1">IFERROR(__xludf.DUMMYFUNCTION("GOOGLETRANSLATE(J573,""ar"",""en"")"),"#VALUE!")</f>
        <v>#VALUE!</v>
      </c>
      <c r="N573" s="6" t="s">
        <v>2399</v>
      </c>
      <c r="O573" s="10" t="s">
        <v>2400</v>
      </c>
    </row>
    <row r="574" spans="1:15" ht="20.100000000000001" customHeight="1" thickTop="1" thickBot="1">
      <c r="A574" s="1"/>
      <c r="B574" s="22">
        <v>573</v>
      </c>
      <c r="C574" s="22" t="s">
        <v>2401</v>
      </c>
      <c r="D574" s="22" t="s">
        <v>13</v>
      </c>
      <c r="E574" s="23" t="s">
        <v>2402</v>
      </c>
      <c r="F574" s="22" t="str">
        <f ca="1">IFERROR(__xludf.DUMMYFUNCTION("GOOGLETRANSLATE(E574,""ar"",""en"")"),"Zad Shurooq Al-Khair Supplies")</f>
        <v>Zad Shurooq Al-Khair Supplies</v>
      </c>
      <c r="G574" s="22" t="s">
        <v>3585</v>
      </c>
      <c r="H574" s="24" t="s">
        <v>3587</v>
      </c>
      <c r="I574" s="22" t="s">
        <v>3611</v>
      </c>
      <c r="J574" s="5" t="str">
        <f ca="1">IFERROR(__xludf.DUMMYFUNCTION("GOOGLETRANSLATE(G574,""ar"",""en"")"),"Kindergarten")</f>
        <v>Kindergarten</v>
      </c>
      <c r="K574" s="11">
        <v>594070663</v>
      </c>
      <c r="L574" s="11" t="s">
        <v>2403</v>
      </c>
      <c r="M574" s="5" t="str">
        <f ca="1">IFERROR(__xludf.DUMMYFUNCTION("GOOGLETRANSLATE(J574,""ar"",""en"")"),"boss")</f>
        <v>boss</v>
      </c>
      <c r="N574" s="12" t="s">
        <v>2404</v>
      </c>
      <c r="O574" s="10" t="s">
        <v>2405</v>
      </c>
    </row>
    <row r="575" spans="1:15" ht="20.100000000000001" customHeight="1" thickTop="1" thickBot="1">
      <c r="A575" s="1"/>
      <c r="B575" s="22">
        <v>574</v>
      </c>
      <c r="C575" s="22" t="s">
        <v>2406</v>
      </c>
      <c r="D575" s="22" t="s">
        <v>13</v>
      </c>
      <c r="E575" s="22" t="s">
        <v>2407</v>
      </c>
      <c r="F575" s="22" t="str">
        <f ca="1">IFERROR(__xludf.DUMMYFUNCTION("GOOGLETRANSLATE(E575,""ar"",""en"")"),"Providing a container and food")</f>
        <v>Providing a container and food</v>
      </c>
      <c r="G575" s="22" t="s">
        <v>3585</v>
      </c>
      <c r="H575" s="24" t="s">
        <v>3587</v>
      </c>
      <c r="I575" s="22" t="s">
        <v>3611</v>
      </c>
      <c r="J575" s="5" t="str">
        <f ca="1">IFERROR(__xludf.DUMMYFUNCTION("GOOGLETRANSLATE(G575,""ar"",""en"")"),"Kindergarten")</f>
        <v>Kindergarten</v>
      </c>
      <c r="K575" s="5">
        <v>538127913</v>
      </c>
      <c r="L575" s="5" t="s">
        <v>294</v>
      </c>
      <c r="M575" s="5" t="str">
        <f ca="1">IFERROR(__xludf.DUMMYFUNCTION("GOOGLETRANSLATE(J575,""ar"",""en"")"),"Mohammed")</f>
        <v>Mohammed</v>
      </c>
      <c r="N575" s="6" t="s">
        <v>2408</v>
      </c>
      <c r="O575" s="10" t="s">
        <v>2409</v>
      </c>
    </row>
    <row r="576" spans="1:15" ht="20.100000000000001" customHeight="1" thickTop="1" thickBot="1">
      <c r="A576" s="1"/>
      <c r="B576" s="22">
        <v>575</v>
      </c>
      <c r="C576" s="22" t="s">
        <v>2410</v>
      </c>
      <c r="D576" s="22" t="s">
        <v>13</v>
      </c>
      <c r="E576" s="23" t="s">
        <v>2411</v>
      </c>
      <c r="F576" s="22" t="str">
        <f ca="1">IFERROR(__xludf.DUMMYFUNCTION("GOOGLETRANSLATE(E576,""ar"",""en"")"),"Ya Hala Supplies")</f>
        <v>Ya Hala Supplies</v>
      </c>
      <c r="G576" s="22" t="s">
        <v>3585</v>
      </c>
      <c r="H576" s="24" t="s">
        <v>3587</v>
      </c>
      <c r="I576" s="22" t="s">
        <v>3611</v>
      </c>
      <c r="J576" s="5" t="str">
        <f ca="1">IFERROR(__xludf.DUMMYFUNCTION("GOOGLETRANSLATE(G576,""ar"",""en"")"),"Kindergarten")</f>
        <v>Kindergarten</v>
      </c>
      <c r="K576" s="11">
        <v>536224237</v>
      </c>
      <c r="L576" s="11" t="s">
        <v>175</v>
      </c>
      <c r="M576" s="5" t="str">
        <f ca="1">IFERROR(__xludf.DUMMYFUNCTION("GOOGLETRANSLATE(J576,""ar"",""en"")"),"Abdullah")</f>
        <v>Abdullah</v>
      </c>
      <c r="N576" s="12" t="s">
        <v>2412</v>
      </c>
      <c r="O576" s="10" t="s">
        <v>2413</v>
      </c>
    </row>
    <row r="577" spans="1:15" ht="20.100000000000001" customHeight="1" thickTop="1" thickBot="1">
      <c r="A577" s="1"/>
      <c r="B577" s="22">
        <v>576</v>
      </c>
      <c r="C577" s="22" t="s">
        <v>2414</v>
      </c>
      <c r="D577" s="22" t="s">
        <v>13</v>
      </c>
      <c r="E577" s="22" t="s">
        <v>2415</v>
      </c>
      <c r="F577" s="22" t="str">
        <f ca="1">IFERROR(__xludf.DUMMYFUNCTION("GOOGLETRANSLATE(E577,""ar"",""en"")"),"Narjis Store Central Markets")</f>
        <v>Narjis Store Central Markets</v>
      </c>
      <c r="G577" s="22" t="s">
        <v>3585</v>
      </c>
      <c r="H577" s="24" t="s">
        <v>3587</v>
      </c>
      <c r="I577" s="22" t="s">
        <v>3611</v>
      </c>
      <c r="J577" s="5" t="str">
        <f ca="1">IFERROR(__xludf.DUMMYFUNCTION("GOOGLETRANSLATE(G577,""ar"",""en"")"),"Kindergarten")</f>
        <v>Kindergarten</v>
      </c>
      <c r="K577" s="5">
        <v>508768470</v>
      </c>
      <c r="L577" s="5" t="s">
        <v>198</v>
      </c>
      <c r="M577" s="5" t="str">
        <f ca="1">IFERROR(__xludf.DUMMYFUNCTION("GOOGLETRANSLATE(J577,""ar"",""en"")"),"Abdo")</f>
        <v>Abdo</v>
      </c>
      <c r="N577" s="6" t="s">
        <v>2416</v>
      </c>
      <c r="O577" s="10" t="s">
        <v>2417</v>
      </c>
    </row>
    <row r="578" spans="1:15" ht="20.100000000000001" customHeight="1" thickTop="1" thickBot="1">
      <c r="A578" s="1"/>
      <c r="B578" s="22">
        <v>577</v>
      </c>
      <c r="C578" s="22" t="s">
        <v>2418</v>
      </c>
      <c r="D578" s="22" t="s">
        <v>13</v>
      </c>
      <c r="E578" s="23" t="s">
        <v>2419</v>
      </c>
      <c r="F578" s="22" t="str">
        <f ca="1">IFERROR(__xludf.DUMMYFUNCTION("GOOGLETRANSLATE(E578,""ar"",""en"")"),"Popular Homes")</f>
        <v>Popular Homes</v>
      </c>
      <c r="G578" s="22" t="s">
        <v>3585</v>
      </c>
      <c r="H578" s="24" t="s">
        <v>3587</v>
      </c>
      <c r="I578" s="22" t="s">
        <v>3611</v>
      </c>
      <c r="J578" s="5" t="str">
        <f ca="1">IFERROR(__xludf.DUMMYFUNCTION("GOOGLETRANSLATE(G578,""ar"",""en"")"),"Kindergarten")</f>
        <v>Kindergarten</v>
      </c>
      <c r="K578" s="11"/>
      <c r="L578" s="11"/>
      <c r="M578" s="5" t="str">
        <f ca="1">IFERROR(__xludf.DUMMYFUNCTION("GOOGLETRANSLATE(J578,""ar"",""en"")"),"#VALUE!")</f>
        <v>#VALUE!</v>
      </c>
      <c r="N578" s="12" t="s">
        <v>2420</v>
      </c>
      <c r="O578" s="10" t="s">
        <v>2421</v>
      </c>
    </row>
    <row r="579" spans="1:15" ht="20.100000000000001" customHeight="1" thickTop="1" thickBot="1">
      <c r="A579" s="1"/>
      <c r="B579" s="22">
        <v>578</v>
      </c>
      <c r="C579" s="22" t="s">
        <v>2422</v>
      </c>
      <c r="D579" s="22" t="s">
        <v>13</v>
      </c>
      <c r="E579" s="22" t="s">
        <v>2423</v>
      </c>
      <c r="F579" s="22" t="str">
        <f ca="1">IFERROR(__xludf.DUMMYFUNCTION("GOOGLETRANSLATE(E579,""ar"",""en"")"),"Arrow of guidance")</f>
        <v>Arrow of guidance</v>
      </c>
      <c r="G579" s="22" t="s">
        <v>3585</v>
      </c>
      <c r="H579" s="24" t="s">
        <v>3587</v>
      </c>
      <c r="I579" s="22" t="s">
        <v>3611</v>
      </c>
      <c r="J579" s="5" t="str">
        <f ca="1">IFERROR(__xludf.DUMMYFUNCTION("GOOGLETRANSLATE(G579,""ar"",""en"")"),"Kindergarten")</f>
        <v>Kindergarten</v>
      </c>
      <c r="K579" s="5">
        <v>570723223</v>
      </c>
      <c r="L579" s="5"/>
      <c r="M579" s="5" t="str">
        <f ca="1">IFERROR(__xludf.DUMMYFUNCTION("GOOGLETRANSLATE(J579,""ar"",""en"")"),"#VALUE!")</f>
        <v>#VALUE!</v>
      </c>
      <c r="N579" s="6" t="s">
        <v>2424</v>
      </c>
      <c r="O579" s="10" t="s">
        <v>2425</v>
      </c>
    </row>
    <row r="580" spans="1:15" ht="20.100000000000001" customHeight="1" thickTop="1" thickBot="1">
      <c r="A580" s="1"/>
      <c r="B580" s="22">
        <v>579</v>
      </c>
      <c r="C580" s="22" t="s">
        <v>2426</v>
      </c>
      <c r="D580" s="22" t="s">
        <v>13</v>
      </c>
      <c r="E580" s="23" t="s">
        <v>2427</v>
      </c>
      <c r="F580" s="22" t="str">
        <f ca="1">IFERROR(__xludf.DUMMYFUNCTION("GOOGLETRANSLATE(E580,""ar"",""en"")"),"Barakat Al Anwar Supplies")</f>
        <v>Barakat Al Anwar Supplies</v>
      </c>
      <c r="G580" s="22" t="s">
        <v>3585</v>
      </c>
      <c r="H580" s="24" t="s">
        <v>3587</v>
      </c>
      <c r="I580" s="22" t="s">
        <v>3660</v>
      </c>
      <c r="J580" s="5" t="str">
        <f ca="1">IFERROR(__xludf.DUMMYFUNCTION("GOOGLETRANSLATE(G580,""ar"",""en"")"),"Abdullah")</f>
        <v>Abdullah</v>
      </c>
      <c r="K580" s="11"/>
      <c r="L580" s="11"/>
      <c r="M580" s="5" t="str">
        <f ca="1">IFERROR(__xludf.DUMMYFUNCTION("GOOGLETRANSLATE(J580,""ar"",""en"")"),"#VALUE!")</f>
        <v>#VALUE!</v>
      </c>
      <c r="N580" s="12" t="s">
        <v>2428</v>
      </c>
      <c r="O580" s="10" t="s">
        <v>2429</v>
      </c>
    </row>
    <row r="581" spans="1:15" ht="20.100000000000001" customHeight="1" thickTop="1" thickBot="1">
      <c r="A581" s="1"/>
      <c r="B581" s="22">
        <v>580</v>
      </c>
      <c r="C581" s="22" t="s">
        <v>2430</v>
      </c>
      <c r="D581" s="22" t="s">
        <v>13</v>
      </c>
      <c r="E581" s="22" t="s">
        <v>2431</v>
      </c>
      <c r="F581" s="22" t="str">
        <f ca="1">IFERROR(__xludf.DUMMYFUNCTION("GOOGLETRANSLATE(E581,""ar"",""en"")"),"Halawa Railway Grocery")</f>
        <v>Halawa Railway Grocery</v>
      </c>
      <c r="G581" s="22" t="s">
        <v>3585</v>
      </c>
      <c r="H581" s="24" t="s">
        <v>3587</v>
      </c>
      <c r="I581" s="22" t="s">
        <v>3660</v>
      </c>
      <c r="J581" s="5" t="str">
        <f ca="1">IFERROR(__xludf.DUMMYFUNCTION("GOOGLETRANSLATE(G581,""ar"",""en"")"),"Abdullah")</f>
        <v>Abdullah</v>
      </c>
      <c r="K581" s="5">
        <v>557400414</v>
      </c>
      <c r="L581" s="5" t="s">
        <v>2432</v>
      </c>
      <c r="M581" s="5" t="str">
        <f ca="1">IFERROR(__xludf.DUMMYFUNCTION("GOOGLETRANSLATE(J581,""ar"",""en"")"),"Waji")</f>
        <v>Waji</v>
      </c>
      <c r="N581" s="6" t="s">
        <v>2433</v>
      </c>
      <c r="O581" s="10" t="s">
        <v>2434</v>
      </c>
    </row>
    <row r="582" spans="1:15" ht="20.100000000000001" customHeight="1" thickTop="1" thickBot="1">
      <c r="A582" s="1"/>
      <c r="B582" s="22">
        <v>581</v>
      </c>
      <c r="C582" s="22" t="s">
        <v>2435</v>
      </c>
      <c r="D582" s="22" t="s">
        <v>13</v>
      </c>
      <c r="E582" s="23" t="s">
        <v>2436</v>
      </c>
      <c r="F582" s="22" t="str">
        <f ca="1">IFERROR(__xludf.DUMMYFUNCTION("GOOGLETRANSLATE(E582,""ar"",""en"")"),"Al Rayyan Supplies")</f>
        <v>Al Rayyan Supplies</v>
      </c>
      <c r="G582" s="22" t="s">
        <v>3585</v>
      </c>
      <c r="H582" s="24" t="s">
        <v>3587</v>
      </c>
      <c r="I582" s="22" t="s">
        <v>3660</v>
      </c>
      <c r="J582" s="5" t="str">
        <f ca="1">IFERROR(__xludf.DUMMYFUNCTION("GOOGLETRANSLATE(G582,""ar"",""en"")"),"Abdullah")</f>
        <v>Abdullah</v>
      </c>
      <c r="K582" s="11"/>
      <c r="L582" s="11"/>
      <c r="M582" s="5" t="str">
        <f ca="1">IFERROR(__xludf.DUMMYFUNCTION("GOOGLETRANSLATE(J582,""ar"",""en"")"),"#VALUE!")</f>
        <v>#VALUE!</v>
      </c>
      <c r="N582" s="12" t="s">
        <v>2437</v>
      </c>
      <c r="O582" s="10" t="s">
        <v>2438</v>
      </c>
    </row>
    <row r="583" spans="1:15" ht="20.100000000000001" customHeight="1" thickTop="1" thickBot="1">
      <c r="A583" s="1"/>
      <c r="B583" s="22">
        <v>582</v>
      </c>
      <c r="C583" s="22" t="s">
        <v>2439</v>
      </c>
      <c r="D583" s="22" t="s">
        <v>13</v>
      </c>
      <c r="E583" s="22" t="s">
        <v>2440</v>
      </c>
      <c r="F583" s="22" t="str">
        <f ca="1">IFERROR(__xludf.DUMMYFUNCTION("GOOGLETRANSLATE(E583,""ar"",""en"")"),"Gardens of Al-Durra Supplies")</f>
        <v>Gardens of Al-Durra Supplies</v>
      </c>
      <c r="G583" s="22" t="s">
        <v>3585</v>
      </c>
      <c r="H583" s="24" t="s">
        <v>3587</v>
      </c>
      <c r="I583" s="22" t="s">
        <v>3660</v>
      </c>
      <c r="J583" s="5" t="str">
        <f ca="1">IFERROR(__xludf.DUMMYFUNCTION("GOOGLETRANSLATE(G583,""ar"",""en"")"),"Abdullah")</f>
        <v>Abdullah</v>
      </c>
      <c r="K583" s="5">
        <v>564600663</v>
      </c>
      <c r="L583" s="5" t="s">
        <v>2086</v>
      </c>
      <c r="M583" s="5" t="str">
        <f ca="1">IFERROR(__xludf.DUMMYFUNCTION("GOOGLETRANSLATE(J583,""ar"",""en"")"),"Saddam")</f>
        <v>Saddam</v>
      </c>
      <c r="N583" s="6" t="s">
        <v>2441</v>
      </c>
      <c r="O583" s="10" t="s">
        <v>2442</v>
      </c>
    </row>
    <row r="584" spans="1:15" ht="20.100000000000001" customHeight="1" thickTop="1" thickBot="1">
      <c r="A584" s="1"/>
      <c r="B584" s="22">
        <v>583</v>
      </c>
      <c r="C584" s="22" t="s">
        <v>2443</v>
      </c>
      <c r="D584" s="22" t="s">
        <v>13</v>
      </c>
      <c r="E584" s="23" t="s">
        <v>2440</v>
      </c>
      <c r="F584" s="22" t="str">
        <f ca="1">IFERROR(__xludf.DUMMYFUNCTION("GOOGLETRANSLATE(E584,""ar"",""en"")"),"Gardens of Al-Durra Supplies")</f>
        <v>Gardens of Al-Durra Supplies</v>
      </c>
      <c r="G584" s="22" t="s">
        <v>3585</v>
      </c>
      <c r="H584" s="24" t="s">
        <v>3587</v>
      </c>
      <c r="I584" s="22" t="s">
        <v>3660</v>
      </c>
      <c r="J584" s="5" t="str">
        <f ca="1">IFERROR(__xludf.DUMMYFUNCTION("GOOGLETRANSLATE(G584,""ar"",""en"")"),"Abdullah")</f>
        <v>Abdullah</v>
      </c>
      <c r="K584" s="11">
        <v>564470493</v>
      </c>
      <c r="L584" s="11"/>
      <c r="M584" s="5" t="str">
        <f ca="1">IFERROR(__xludf.DUMMYFUNCTION("GOOGLETRANSLATE(J584,""ar"",""en"")"),"#VALUE!")</f>
        <v>#VALUE!</v>
      </c>
      <c r="N584" s="12" t="s">
        <v>2444</v>
      </c>
      <c r="O584" s="10" t="s">
        <v>2445</v>
      </c>
    </row>
    <row r="585" spans="1:15" ht="20.100000000000001" customHeight="1" thickTop="1" thickBot="1">
      <c r="A585" s="1"/>
      <c r="B585" s="22">
        <v>584</v>
      </c>
      <c r="C585" s="22" t="s">
        <v>2446</v>
      </c>
      <c r="D585" s="22" t="s">
        <v>13</v>
      </c>
      <c r="E585" s="22" t="s">
        <v>2447</v>
      </c>
      <c r="F585" s="22" t="str">
        <f ca="1">IFERROR(__xludf.DUMMYFUNCTION("GOOGLETRANSLATE(E585,""ar"",""en"")"),"Amwaj Al Jisr Supplies")</f>
        <v>Amwaj Al Jisr Supplies</v>
      </c>
      <c r="G585" s="22" t="s">
        <v>2756</v>
      </c>
      <c r="H585" s="24" t="s">
        <v>3593</v>
      </c>
      <c r="I585" s="22" t="s">
        <v>3642</v>
      </c>
      <c r="J585" s="5" t="str">
        <f ca="1">IFERROR(__xludf.DUMMYFUNCTION("GOOGLETRANSLATE(G585,""ar"",""en"")"),"The bridge")</f>
        <v>The bridge</v>
      </c>
      <c r="K585" s="5">
        <v>541533009</v>
      </c>
      <c r="L585" s="5" t="s">
        <v>2448</v>
      </c>
      <c r="M585" s="5" t="str">
        <f ca="1">IFERROR(__xludf.DUMMYFUNCTION("GOOGLETRANSLATE(J585,""ar"",""en"")"),"Abu Salim")</f>
        <v>Abu Salim</v>
      </c>
      <c r="N585" s="6" t="s">
        <v>2449</v>
      </c>
      <c r="O585" s="10" t="s">
        <v>2450</v>
      </c>
    </row>
    <row r="586" spans="1:15" ht="20.100000000000001" customHeight="1" thickTop="1" thickBot="1">
      <c r="A586" s="1"/>
      <c r="B586" s="22">
        <v>585</v>
      </c>
      <c r="C586" s="22" t="s">
        <v>2451</v>
      </c>
      <c r="D586" s="22" t="s">
        <v>13</v>
      </c>
      <c r="E586" s="23" t="s">
        <v>2452</v>
      </c>
      <c r="F586" s="22" t="str">
        <f ca="1">IFERROR(__xludf.DUMMYFUNCTION("GOOGLETRANSLATE(E586,""ar"",""en"")"),"Corni Eastern Provisions")</f>
        <v>Corni Eastern Provisions</v>
      </c>
      <c r="G586" s="22" t="s">
        <v>2756</v>
      </c>
      <c r="H586" s="24" t="s">
        <v>3593</v>
      </c>
      <c r="I586" s="22" t="s">
        <v>3642</v>
      </c>
      <c r="J586" s="5" t="str">
        <f ca="1">IFERROR(__xludf.DUMMYFUNCTION("GOOGLETRANSLATE(G586,""ar"",""en"")"),"The bridge")</f>
        <v>The bridge</v>
      </c>
      <c r="K586" s="11"/>
      <c r="L586" s="11"/>
      <c r="M586" s="5" t="str">
        <f ca="1">IFERROR(__xludf.DUMMYFUNCTION("GOOGLETRANSLATE(J586,""ar"",""en"")"),"#VALUE!")</f>
        <v>#VALUE!</v>
      </c>
      <c r="N586" s="12" t="s">
        <v>2453</v>
      </c>
      <c r="O586" s="10" t="s">
        <v>2454</v>
      </c>
    </row>
    <row r="587" spans="1:15" ht="20.100000000000001" customHeight="1" thickTop="1" thickBot="1">
      <c r="A587" s="1"/>
      <c r="B587" s="22">
        <v>586</v>
      </c>
      <c r="C587" s="22" t="s">
        <v>2455</v>
      </c>
      <c r="D587" s="22" t="s">
        <v>13</v>
      </c>
      <c r="E587" s="22" t="s">
        <v>2456</v>
      </c>
      <c r="F587" s="22" t="str">
        <f ca="1">IFERROR(__xludf.DUMMYFUNCTION("GOOGLETRANSLATE(E587,""ar"",""en"")"),"Durrat Al-Naqeeb Supplies")</f>
        <v>Durrat Al-Naqeeb Supplies</v>
      </c>
      <c r="G587" s="22" t="s">
        <v>2756</v>
      </c>
      <c r="H587" s="24" t="s">
        <v>3593</v>
      </c>
      <c r="I587" s="22" t="s">
        <v>3642</v>
      </c>
      <c r="J587" s="5" t="str">
        <f ca="1">IFERROR(__xludf.DUMMYFUNCTION("GOOGLETRANSLATE(G587,""ar"",""en"")"),"The bridge")</f>
        <v>The bridge</v>
      </c>
      <c r="K587" s="5">
        <v>597617719</v>
      </c>
      <c r="L587" s="5" t="s">
        <v>2457</v>
      </c>
      <c r="M587" s="5" t="str">
        <f ca="1">IFERROR(__xludf.DUMMYFUNCTION("GOOGLETRANSLATE(J587,""ar"",""en"")"),"Abu Noura")</f>
        <v>Abu Noura</v>
      </c>
      <c r="N587" s="6" t="s">
        <v>2458</v>
      </c>
      <c r="O587" s="10" t="s">
        <v>2459</v>
      </c>
    </row>
    <row r="588" spans="1:15" ht="20.100000000000001" customHeight="1" thickTop="1" thickBot="1">
      <c r="A588" s="1"/>
      <c r="B588" s="22">
        <v>587</v>
      </c>
      <c r="C588" s="22" t="s">
        <v>2460</v>
      </c>
      <c r="D588" s="22" t="s">
        <v>13</v>
      </c>
      <c r="E588" s="23" t="s">
        <v>2461</v>
      </c>
      <c r="F588" s="22" t="str">
        <f ca="1">IFERROR(__xludf.DUMMYFUNCTION("GOOGLETRANSLATE(E588,""ar"",""en"")"),"Arkan Al-Jisr Supplies")</f>
        <v>Arkan Al-Jisr Supplies</v>
      </c>
      <c r="G588" s="22" t="s">
        <v>2756</v>
      </c>
      <c r="H588" s="24" t="s">
        <v>3593</v>
      </c>
      <c r="I588" s="22" t="s">
        <v>3642</v>
      </c>
      <c r="J588" s="5" t="str">
        <f ca="1">IFERROR(__xludf.DUMMYFUNCTION("GOOGLETRANSLATE(G588,""ar"",""en"")"),"The bridge")</f>
        <v>The bridge</v>
      </c>
      <c r="K588" s="11">
        <v>535062765</v>
      </c>
      <c r="L588" s="11"/>
      <c r="M588" s="5" t="str">
        <f ca="1">IFERROR(__xludf.DUMMYFUNCTION("GOOGLETRANSLATE(J588,""ar"",""en"")"),"#VALUE!")</f>
        <v>#VALUE!</v>
      </c>
      <c r="N588" s="12" t="s">
        <v>2462</v>
      </c>
      <c r="O588" s="10" t="s">
        <v>2463</v>
      </c>
    </row>
    <row r="589" spans="1:15" ht="20.100000000000001" customHeight="1" thickTop="1" thickBot="1">
      <c r="A589" s="1"/>
      <c r="B589" s="22">
        <v>588</v>
      </c>
      <c r="C589" s="22" t="s">
        <v>2464</v>
      </c>
      <c r="D589" s="22" t="s">
        <v>13</v>
      </c>
      <c r="E589" s="22" t="s">
        <v>2465</v>
      </c>
      <c r="F589" s="22" t="str">
        <f ca="1">IFERROR(__xludf.DUMMYFUNCTION("GOOGLETRANSLATE(E589,""ar"",""en"")"),"Family Bridge Foundation")</f>
        <v>Family Bridge Foundation</v>
      </c>
      <c r="G589" s="22" t="s">
        <v>2756</v>
      </c>
      <c r="H589" s="24" t="s">
        <v>3593</v>
      </c>
      <c r="I589" s="22" t="s">
        <v>3642</v>
      </c>
      <c r="J589" s="5" t="str">
        <f ca="1">IFERROR(__xludf.DUMMYFUNCTION("GOOGLETRANSLATE(G589,""ar"",""en"")"),"The bridge")</f>
        <v>The bridge</v>
      </c>
      <c r="K589" s="5">
        <v>538135321</v>
      </c>
      <c r="L589" s="5"/>
      <c r="M589" s="5" t="str">
        <f ca="1">IFERROR(__xludf.DUMMYFUNCTION("GOOGLETRANSLATE(J589,""ar"",""en"")"),"#VALUE!")</f>
        <v>#VALUE!</v>
      </c>
      <c r="N589" s="6" t="s">
        <v>2466</v>
      </c>
      <c r="O589" s="10" t="s">
        <v>2467</v>
      </c>
    </row>
    <row r="590" spans="1:15" ht="20.100000000000001" customHeight="1" thickTop="1" thickBot="1">
      <c r="A590" s="1"/>
      <c r="B590" s="22">
        <v>589</v>
      </c>
      <c r="C590" s="22" t="s">
        <v>2468</v>
      </c>
      <c r="D590" s="22" t="s">
        <v>13</v>
      </c>
      <c r="E590" s="23" t="s">
        <v>2469</v>
      </c>
      <c r="F590" s="22" t="str">
        <f ca="1">IFERROR(__xludf.DUMMYFUNCTION("GOOGLETRANSLATE(E590,""ar"",""en"")"),"Bird Island Foundation")</f>
        <v>Bird Island Foundation</v>
      </c>
      <c r="G590" s="22" t="s">
        <v>2756</v>
      </c>
      <c r="H590" s="24" t="s">
        <v>3593</v>
      </c>
      <c r="I590" s="22" t="s">
        <v>3642</v>
      </c>
      <c r="J590" s="5" t="str">
        <f ca="1">IFERROR(__xludf.DUMMYFUNCTION("GOOGLETRANSLATE(G590,""ar"",""en"")"),"The bridge")</f>
        <v>The bridge</v>
      </c>
      <c r="K590" s="11">
        <v>578682496</v>
      </c>
      <c r="L590" s="11"/>
      <c r="M590" s="5" t="str">
        <f ca="1">IFERROR(__xludf.DUMMYFUNCTION("GOOGLETRANSLATE(J590,""ar"",""en"")"),"#VALUE!")</f>
        <v>#VALUE!</v>
      </c>
      <c r="N590" s="12" t="s">
        <v>2470</v>
      </c>
      <c r="O590" s="10" t="s">
        <v>2471</v>
      </c>
    </row>
    <row r="591" spans="1:15" ht="20.100000000000001" customHeight="1" thickTop="1" thickBot="1">
      <c r="A591" s="1"/>
      <c r="B591" s="22">
        <v>590</v>
      </c>
      <c r="C591" s="22" t="s">
        <v>2472</v>
      </c>
      <c r="D591" s="22" t="s">
        <v>13</v>
      </c>
      <c r="E591" s="22" t="s">
        <v>2473</v>
      </c>
      <c r="F591" s="22" t="str">
        <f ca="1">IFERROR(__xludf.DUMMYFUNCTION("GOOGLETRANSLATE(E591,""ar"",""en"")"),"Kayan Biladi Supplies")</f>
        <v>Kayan Biladi Supplies</v>
      </c>
      <c r="G591" s="22" t="s">
        <v>2756</v>
      </c>
      <c r="H591" s="24" t="s">
        <v>3593</v>
      </c>
      <c r="I591" s="22" t="s">
        <v>3642</v>
      </c>
      <c r="J591" s="5" t="str">
        <f ca="1">IFERROR(__xludf.DUMMYFUNCTION("GOOGLETRANSLATE(G591,""ar"",""en"")"),"The bridge")</f>
        <v>The bridge</v>
      </c>
      <c r="K591" s="5">
        <v>562194364</v>
      </c>
      <c r="L591" s="5"/>
      <c r="M591" s="5" t="str">
        <f ca="1">IFERROR(__xludf.DUMMYFUNCTION("GOOGLETRANSLATE(J591,""ar"",""en"")"),"#VALUE!")</f>
        <v>#VALUE!</v>
      </c>
      <c r="N591" s="6" t="s">
        <v>2474</v>
      </c>
      <c r="O591" s="10" t="s">
        <v>2475</v>
      </c>
    </row>
    <row r="592" spans="1:15" ht="20.100000000000001" customHeight="1" thickTop="1" thickBot="1">
      <c r="A592" s="1"/>
      <c r="B592" s="22">
        <v>591</v>
      </c>
      <c r="C592" s="22" t="s">
        <v>2476</v>
      </c>
      <c r="D592" s="22" t="s">
        <v>13</v>
      </c>
      <c r="E592" s="23" t="s">
        <v>2477</v>
      </c>
      <c r="F592" s="22" t="str">
        <f ca="1">IFERROR(__xludf.DUMMYFUNCTION("GOOGLETRANSLATE(E592,""ar"",""en"")"),"Al Jazeera Symbols Supplies")</f>
        <v>Al Jazeera Symbols Supplies</v>
      </c>
      <c r="G592" s="22" t="s">
        <v>2756</v>
      </c>
      <c r="H592" s="24" t="s">
        <v>3593</v>
      </c>
      <c r="I592" s="22" t="s">
        <v>3642</v>
      </c>
      <c r="J592" s="5" t="str">
        <f ca="1">IFERROR(__xludf.DUMMYFUNCTION("GOOGLETRANSLATE(G592,""ar"",""en"")"),"The bridge")</f>
        <v>The bridge</v>
      </c>
      <c r="K592" s="11">
        <v>538608164</v>
      </c>
      <c r="L592" s="11" t="s">
        <v>2478</v>
      </c>
      <c r="M592" s="5" t="str">
        <f ca="1">IFERROR(__xludf.DUMMYFUNCTION("GOOGLETRANSLATE(J592,""ar"",""en"")"),"Mohammed Al-Himyari")</f>
        <v>Mohammed Al-Himyari</v>
      </c>
      <c r="N592" s="12" t="s">
        <v>2479</v>
      </c>
      <c r="O592" s="10" t="s">
        <v>2480</v>
      </c>
    </row>
    <row r="593" spans="1:15" ht="20.100000000000001" customHeight="1" thickTop="1" thickBot="1">
      <c r="A593" s="1"/>
      <c r="B593" s="22">
        <v>592</v>
      </c>
      <c r="C593" s="22" t="s">
        <v>2481</v>
      </c>
      <c r="D593" s="22" t="s">
        <v>13</v>
      </c>
      <c r="E593" s="22" t="s">
        <v>2163</v>
      </c>
      <c r="F593" s="22" t="str">
        <f ca="1">IFERROR(__xludf.DUMMYFUNCTION("GOOGLETRANSLATE(E593,""ar"",""en"")"),"Kayan and Hala Markets")</f>
        <v>Kayan and Hala Markets</v>
      </c>
      <c r="G593" s="22" t="s">
        <v>2756</v>
      </c>
      <c r="H593" s="24" t="s">
        <v>3593</v>
      </c>
      <c r="I593" s="22" t="s">
        <v>3642</v>
      </c>
      <c r="J593" s="5" t="str">
        <f ca="1">IFERROR(__xludf.DUMMYFUNCTION("GOOGLETRANSLATE(G593,""ar"",""en"")"),"The bridge")</f>
        <v>The bridge</v>
      </c>
      <c r="K593" s="5">
        <v>509587616</v>
      </c>
      <c r="L593" s="5" t="s">
        <v>2482</v>
      </c>
      <c r="M593" s="5" t="str">
        <f ca="1">IFERROR(__xludf.DUMMYFUNCTION("GOOGLETRANSLATE(J593,""ar"",""en"")"),"Wissam Al-Salahi")</f>
        <v>Wissam Al-Salahi</v>
      </c>
      <c r="N593" s="6" t="s">
        <v>2483</v>
      </c>
      <c r="O593" s="10" t="s">
        <v>2484</v>
      </c>
    </row>
    <row r="594" spans="1:15" ht="20.100000000000001" customHeight="1" thickTop="1" thickBot="1">
      <c r="A594" s="1"/>
      <c r="B594" s="22">
        <v>593</v>
      </c>
      <c r="C594" s="22" t="s">
        <v>2485</v>
      </c>
      <c r="D594" s="22" t="s">
        <v>13</v>
      </c>
      <c r="E594" s="23" t="s">
        <v>2486</v>
      </c>
      <c r="F594" s="22" t="str">
        <f ca="1">IFERROR(__xludf.DUMMYFUNCTION("GOOGLETRANSLATE(E594,""ar"",""en"")"),"Coastal contours")</f>
        <v>Coastal contours</v>
      </c>
      <c r="G594" s="22" t="s">
        <v>2756</v>
      </c>
      <c r="H594" s="24" t="s">
        <v>3593</v>
      </c>
      <c r="I594" s="22" t="s">
        <v>3642</v>
      </c>
      <c r="J594" s="5" t="str">
        <f ca="1">IFERROR(__xludf.DUMMYFUNCTION("GOOGLETRANSLATE(G594,""ar"",""en"")"),"The bridge")</f>
        <v>The bridge</v>
      </c>
      <c r="K594" s="11">
        <v>563928237</v>
      </c>
      <c r="L594" s="11"/>
      <c r="M594" s="5" t="str">
        <f ca="1">IFERROR(__xludf.DUMMYFUNCTION("GOOGLETRANSLATE(J594,""ar"",""en"")"),"#VALUE!")</f>
        <v>#VALUE!</v>
      </c>
      <c r="N594" s="12" t="s">
        <v>2487</v>
      </c>
      <c r="O594" s="10" t="s">
        <v>2488</v>
      </c>
    </row>
    <row r="595" spans="1:15" ht="20.100000000000001" customHeight="1" thickTop="1" thickBot="1">
      <c r="A595" s="1"/>
      <c r="B595" s="22">
        <v>594</v>
      </c>
      <c r="C595" s="22" t="s">
        <v>2489</v>
      </c>
      <c r="D595" s="22" t="s">
        <v>13</v>
      </c>
      <c r="E595" s="22" t="s">
        <v>2490</v>
      </c>
      <c r="F595" s="22" t="str">
        <f ca="1">IFERROR(__xludf.DUMMYFUNCTION("GOOGLETRANSLATE(E595,""ar"",""en"")"),"Najoum Hala Company")</f>
        <v>Najoum Hala Company</v>
      </c>
      <c r="G595" s="22" t="s">
        <v>2756</v>
      </c>
      <c r="H595" s="24" t="s">
        <v>3593</v>
      </c>
      <c r="I595" s="22" t="s">
        <v>3642</v>
      </c>
      <c r="J595" s="5" t="str">
        <f ca="1">IFERROR(__xludf.DUMMYFUNCTION("GOOGLETRANSLATE(G595,""ar"",""en"")"),"The bridge")</f>
        <v>The bridge</v>
      </c>
      <c r="K595" s="5">
        <v>504414520</v>
      </c>
      <c r="L595" s="5"/>
      <c r="M595" s="5" t="str">
        <f ca="1">IFERROR(__xludf.DUMMYFUNCTION("GOOGLETRANSLATE(J595,""ar"",""en"")"),"#VALUE!")</f>
        <v>#VALUE!</v>
      </c>
      <c r="N595" s="6" t="s">
        <v>2491</v>
      </c>
      <c r="O595" s="10" t="s">
        <v>2492</v>
      </c>
    </row>
    <row r="596" spans="1:15" ht="20.100000000000001" customHeight="1" thickTop="1" thickBot="1">
      <c r="A596" s="1"/>
      <c r="B596" s="22">
        <v>595</v>
      </c>
      <c r="C596" s="22" t="s">
        <v>2493</v>
      </c>
      <c r="D596" s="22" t="s">
        <v>13</v>
      </c>
      <c r="E596" s="23" t="s">
        <v>2494</v>
      </c>
      <c r="F596" s="22" t="str">
        <f ca="1">IFERROR(__xludf.DUMMYFUNCTION("GOOGLETRANSLATE(E596,""ar"",""en"")"),"Discounted Corner Supplies")</f>
        <v>Discounted Corner Supplies</v>
      </c>
      <c r="G596" s="22" t="s">
        <v>2756</v>
      </c>
      <c r="H596" s="24" t="s">
        <v>3593</v>
      </c>
      <c r="I596" s="22" t="s">
        <v>3642</v>
      </c>
      <c r="J596" s="5" t="str">
        <f ca="1">IFERROR(__xludf.DUMMYFUNCTION("GOOGLETRANSLATE(G596,""ar"",""en"")"),"The bridge")</f>
        <v>The bridge</v>
      </c>
      <c r="K596" s="11">
        <v>559190457</v>
      </c>
      <c r="L596" s="11" t="s">
        <v>1763</v>
      </c>
      <c r="M596" s="5" t="str">
        <f ca="1">IFERROR(__xludf.DUMMYFUNCTION("GOOGLETRANSLATE(J596,""ar"",""en"")"),"Muhammad Ali")</f>
        <v>Muhammad Ali</v>
      </c>
      <c r="N596" s="12" t="s">
        <v>2495</v>
      </c>
      <c r="O596" s="10" t="s">
        <v>2496</v>
      </c>
    </row>
    <row r="597" spans="1:15" ht="20.100000000000001" customHeight="1" thickTop="1" thickBot="1">
      <c r="A597" s="1"/>
      <c r="B597" s="22">
        <v>596</v>
      </c>
      <c r="C597" s="22" t="s">
        <v>2497</v>
      </c>
      <c r="D597" s="22" t="s">
        <v>13</v>
      </c>
      <c r="E597" s="22" t="s">
        <v>2498</v>
      </c>
      <c r="F597" s="22" t="str">
        <f ca="1">IFERROR(__xludf.DUMMYFUNCTION("GOOGLETRANSLATE(E597,""ar"",""en"")"),"Markets and bakeries, the neighborhood's main thoroughfare")</f>
        <v>Markets and bakeries, the neighborhood's main thoroughfare</v>
      </c>
      <c r="G597" s="22" t="s">
        <v>2756</v>
      </c>
      <c r="H597" s="24" t="s">
        <v>3593</v>
      </c>
      <c r="I597" s="22" t="s">
        <v>3642</v>
      </c>
      <c r="J597" s="5" t="str">
        <f ca="1">IFERROR(__xludf.DUMMYFUNCTION("GOOGLETRANSLATE(G597,""ar"",""en"")"),"The bridge")</f>
        <v>The bridge</v>
      </c>
      <c r="K597" s="5">
        <v>504427878</v>
      </c>
      <c r="L597" s="5" t="s">
        <v>2499</v>
      </c>
      <c r="M597" s="5" t="str">
        <f ca="1">IFERROR(__xludf.DUMMYFUNCTION("GOOGLETRANSLATE(J597,""ar"",""en"")"),"Abu Abdo")</f>
        <v>Abu Abdo</v>
      </c>
      <c r="N597" s="6" t="s">
        <v>2500</v>
      </c>
      <c r="O597" s="10" t="s">
        <v>2501</v>
      </c>
    </row>
    <row r="598" spans="1:15" ht="20.100000000000001" customHeight="1" thickTop="1" thickBot="1">
      <c r="A598" s="1"/>
      <c r="B598" s="22">
        <v>597</v>
      </c>
      <c r="C598" s="22" t="s">
        <v>2502</v>
      </c>
      <c r="D598" s="22" t="s">
        <v>13</v>
      </c>
      <c r="E598" s="23" t="s">
        <v>2503</v>
      </c>
      <c r="F598" s="22" t="str">
        <f ca="1">IFERROR(__xludf.DUMMYFUNCTION("GOOGLETRANSLATE(E598,""ar"",""en"")"),"Rabab Al-Shoumali Supplies")</f>
        <v>Rabab Al-Shoumali Supplies</v>
      </c>
      <c r="G598" s="22" t="s">
        <v>2756</v>
      </c>
      <c r="H598" s="24" t="s">
        <v>3593</v>
      </c>
      <c r="I598" s="23" t="s">
        <v>3703</v>
      </c>
      <c r="J598" s="5" t="str">
        <f ca="1">IFERROR(__xludf.DUMMYFUNCTION("GOOGLETRANSLATE(G598,""ar"",""en"")"),"Dessert")</f>
        <v>Dessert</v>
      </c>
      <c r="K598" s="11">
        <v>535875250</v>
      </c>
      <c r="L598" s="11" t="s">
        <v>361</v>
      </c>
      <c r="M598" s="5" t="str">
        <f ca="1">IFERROR(__xludf.DUMMYFUNCTION("GOOGLETRANSLATE(J598,""ar"",""en"")"),"Ahmed")</f>
        <v>Ahmed</v>
      </c>
      <c r="N598" s="12" t="s">
        <v>2504</v>
      </c>
      <c r="O598" s="10" t="s">
        <v>2505</v>
      </c>
    </row>
    <row r="599" spans="1:15" ht="20.100000000000001" customHeight="1" thickTop="1" thickBot="1">
      <c r="A599" s="1"/>
      <c r="B599" s="22">
        <v>598</v>
      </c>
      <c r="C599" s="22" t="s">
        <v>2506</v>
      </c>
      <c r="D599" s="22" t="s">
        <v>13</v>
      </c>
      <c r="E599" s="22" t="s">
        <v>2507</v>
      </c>
      <c r="F599" s="22" t="str">
        <f ca="1">IFERROR(__xludf.DUMMYFUNCTION("GOOGLETRANSLATE(E599,""ar"",""en"")"),"Al-Sayari Supermarket")</f>
        <v>Al-Sayari Supermarket</v>
      </c>
      <c r="G599" s="22" t="s">
        <v>2756</v>
      </c>
      <c r="H599" s="24" t="s">
        <v>3593</v>
      </c>
      <c r="I599" s="23" t="s">
        <v>3703</v>
      </c>
      <c r="J599" s="5" t="str">
        <f ca="1">IFERROR(__xludf.DUMMYFUNCTION("GOOGLETRANSLATE(G599,""ar"",""en"")"),"Dessert")</f>
        <v>Dessert</v>
      </c>
      <c r="K599" s="5">
        <v>550195305</v>
      </c>
      <c r="L599" s="5" t="s">
        <v>919</v>
      </c>
      <c r="M599" s="5" t="str">
        <f ca="1">IFERROR(__xludf.DUMMYFUNCTION("GOOGLETRANSLATE(J599,""ar"",""en"")"),"righteous")</f>
        <v>righteous</v>
      </c>
      <c r="N599" s="6" t="s">
        <v>2508</v>
      </c>
      <c r="O599" s="10" t="s">
        <v>2509</v>
      </c>
    </row>
    <row r="600" spans="1:15" ht="20.100000000000001" customHeight="1" thickTop="1" thickBot="1">
      <c r="A600" s="1"/>
      <c r="B600" s="22">
        <v>599</v>
      </c>
      <c r="C600" s="22" t="s">
        <v>2510</v>
      </c>
      <c r="D600" s="22" t="s">
        <v>13</v>
      </c>
      <c r="E600" s="23" t="s">
        <v>2511</v>
      </c>
      <c r="F600" s="22" t="str">
        <f ca="1">IFERROR(__xludf.DUMMYFUNCTION("GOOGLETRANSLATE(E600,""ar"",""en"")"),"Abu Lulu Supermarkets")</f>
        <v>Abu Lulu Supermarkets</v>
      </c>
      <c r="G600" s="22" t="s">
        <v>2756</v>
      </c>
      <c r="H600" s="24" t="s">
        <v>3593</v>
      </c>
      <c r="I600" s="23" t="s">
        <v>3703</v>
      </c>
      <c r="J600" s="5" t="str">
        <f ca="1">IFERROR(__xludf.DUMMYFUNCTION("GOOGLETRANSLATE(G600,""ar"",""en"")"),"Dessert")</f>
        <v>Dessert</v>
      </c>
      <c r="K600" s="11">
        <v>503922551</v>
      </c>
      <c r="L600" s="11"/>
      <c r="M600" s="5" t="str">
        <f ca="1">IFERROR(__xludf.DUMMYFUNCTION("GOOGLETRANSLATE(J600,""ar"",""en"")"),"#VALUE!")</f>
        <v>#VALUE!</v>
      </c>
      <c r="N600" s="12" t="s">
        <v>2512</v>
      </c>
      <c r="O600" s="10" t="s">
        <v>2513</v>
      </c>
    </row>
    <row r="601" spans="1:15" ht="20.100000000000001" customHeight="1" thickTop="1" thickBot="1">
      <c r="A601" s="1"/>
      <c r="B601" s="22">
        <v>600</v>
      </c>
      <c r="C601" s="22" t="s">
        <v>2514</v>
      </c>
      <c r="D601" s="22" t="s">
        <v>13</v>
      </c>
      <c r="E601" s="22" t="s">
        <v>2515</v>
      </c>
      <c r="F601" s="22" t="str">
        <f ca="1">IFERROR(__xludf.DUMMYFUNCTION("GOOGLETRANSLATE(E601,""ar"",""en"")"),"Al-Dossari Provisions")</f>
        <v>Al-Dossari Provisions</v>
      </c>
      <c r="G601" s="22" t="s">
        <v>2756</v>
      </c>
      <c r="H601" s="24" t="s">
        <v>3593</v>
      </c>
      <c r="I601" s="22" t="s">
        <v>3686</v>
      </c>
      <c r="J601" s="5" t="str">
        <f ca="1">IFERROR(__xludf.DUMMYFUNCTION("GOOGLETRANSLATE(G601,""ar"",""en"")"),"Agate")</f>
        <v>Agate</v>
      </c>
      <c r="K601" s="5">
        <v>569364548</v>
      </c>
      <c r="L601" s="5" t="s">
        <v>2516</v>
      </c>
      <c r="M601" s="5" t="str">
        <f ca="1">IFERROR(__xludf.DUMMYFUNCTION("GOOGLETRANSLATE(J601,""ar"",""en"")"),"Abu Dha")</f>
        <v>Abu Dha</v>
      </c>
      <c r="N601" s="6" t="s">
        <v>2517</v>
      </c>
      <c r="O601" s="10" t="s">
        <v>2518</v>
      </c>
    </row>
    <row r="602" spans="1:15" ht="20.100000000000001" customHeight="1" thickTop="1" thickBot="1">
      <c r="A602" s="1"/>
      <c r="B602" s="22">
        <v>601</v>
      </c>
      <c r="C602" s="22" t="s">
        <v>2519</v>
      </c>
      <c r="D602" s="22" t="s">
        <v>13</v>
      </c>
      <c r="E602" s="23" t="s">
        <v>2520</v>
      </c>
      <c r="F602" s="22" t="str">
        <f ca="1">IFERROR(__xludf.DUMMYFUNCTION("GOOGLETRANSLATE(E602,""ar"",""en"")"),"Basma Al Sharq Markets")</f>
        <v>Basma Al Sharq Markets</v>
      </c>
      <c r="G602" s="22" t="s">
        <v>2756</v>
      </c>
      <c r="H602" s="24" t="s">
        <v>3593</v>
      </c>
      <c r="I602" s="22" t="s">
        <v>3686</v>
      </c>
      <c r="J602" s="5" t="str">
        <f ca="1">IFERROR(__xludf.DUMMYFUNCTION("GOOGLETRANSLATE(G602,""ar"",""en"")"),"Agate")</f>
        <v>Agate</v>
      </c>
      <c r="K602" s="11">
        <v>567594665</v>
      </c>
      <c r="L602" s="11"/>
      <c r="M602" s="5" t="str">
        <f ca="1">IFERROR(__xludf.DUMMYFUNCTION("GOOGLETRANSLATE(J602,""ar"",""en"")"),"#VALUE!")</f>
        <v>#VALUE!</v>
      </c>
      <c r="N602" s="12" t="s">
        <v>2521</v>
      </c>
      <c r="O602" s="10" t="s">
        <v>2522</v>
      </c>
    </row>
    <row r="603" spans="1:15" ht="20.100000000000001" customHeight="1" thickTop="1" thickBot="1">
      <c r="A603" s="1"/>
      <c r="B603" s="22">
        <v>602</v>
      </c>
      <c r="C603" s="22" t="s">
        <v>2523</v>
      </c>
      <c r="D603" s="22" t="s">
        <v>13</v>
      </c>
      <c r="E603" s="22" t="s">
        <v>2524</v>
      </c>
      <c r="F603" s="22" t="str">
        <f ca="1">IFERROR(__xludf.DUMMYFUNCTION("GOOGLETRANSLATE(E603,""ar"",""en"")"),"Al-Aziziyah Sunset Markets")</f>
        <v>Al-Aziziyah Sunset Markets</v>
      </c>
      <c r="G603" s="22" t="s">
        <v>2756</v>
      </c>
      <c r="H603" s="24" t="s">
        <v>3593</v>
      </c>
      <c r="I603" s="22" t="s">
        <v>3634</v>
      </c>
      <c r="J603" s="5" t="str">
        <f ca="1">IFERROR(__xludf.DUMMYFUNCTION("GOOGLETRANSLATE(G603,""ar"",""en"")"),"waves")</f>
        <v>waves</v>
      </c>
      <c r="K603" s="5">
        <v>573361463</v>
      </c>
      <c r="L603" s="5" t="s">
        <v>83</v>
      </c>
      <c r="M603" s="5" t="str">
        <f ca="1">IFERROR(__xludf.DUMMYFUNCTION("GOOGLETRANSLATE(J603,""ar"",""en"")"),"on")</f>
        <v>on</v>
      </c>
      <c r="N603" s="6" t="s">
        <v>2525</v>
      </c>
      <c r="O603" s="10" t="s">
        <v>2526</v>
      </c>
    </row>
    <row r="604" spans="1:15" ht="20.100000000000001" customHeight="1" thickTop="1" thickBot="1">
      <c r="A604" s="1"/>
      <c r="B604" s="22">
        <v>603</v>
      </c>
      <c r="C604" s="22" t="s">
        <v>2527</v>
      </c>
      <c r="D604" s="22" t="s">
        <v>13</v>
      </c>
      <c r="E604" s="23" t="s">
        <v>2528</v>
      </c>
      <c r="F604" s="22" t="str">
        <f ca="1">IFERROR(__xludf.DUMMYFUNCTION("GOOGLETRANSLATE(E604,""ar"",""en"")"),"Al-Sa'iri Markets")</f>
        <v>Al-Sa'iri Markets</v>
      </c>
      <c r="G604" s="22" t="s">
        <v>2756</v>
      </c>
      <c r="H604" s="24" t="s">
        <v>3593</v>
      </c>
      <c r="I604" s="22" t="s">
        <v>3634</v>
      </c>
      <c r="J604" s="5" t="str">
        <f ca="1">IFERROR(__xludf.DUMMYFUNCTION("GOOGLETRANSLATE(G604,""ar"",""en"")"),"waves")</f>
        <v>waves</v>
      </c>
      <c r="K604" s="11">
        <v>552023548</v>
      </c>
      <c r="L604" s="11" t="s">
        <v>1106</v>
      </c>
      <c r="M604" s="5" t="str">
        <f ca="1">IFERROR(__xludf.DUMMYFUNCTION("GOOGLETRANSLATE(J604,""ar"",""en"")"),"Hassan")</f>
        <v>Hassan</v>
      </c>
      <c r="N604" s="12" t="s">
        <v>2529</v>
      </c>
      <c r="O604" s="10" t="s">
        <v>2530</v>
      </c>
    </row>
    <row r="605" spans="1:15" ht="20.100000000000001" customHeight="1" thickTop="1" thickBot="1">
      <c r="A605" s="1"/>
      <c r="B605" s="22">
        <v>604</v>
      </c>
      <c r="C605" s="22" t="s">
        <v>2531</v>
      </c>
      <c r="D605" s="22" t="s">
        <v>13</v>
      </c>
      <c r="E605" s="22" t="s">
        <v>192</v>
      </c>
      <c r="F605" s="22" t="str">
        <f ca="1">IFERROR(__xludf.DUMMYFUNCTION("GOOGLETRANSLATE(E605,""ar"",""en"")"),"supermarket")</f>
        <v>supermarket</v>
      </c>
      <c r="G605" s="22" t="s">
        <v>2756</v>
      </c>
      <c r="H605" s="24" t="s">
        <v>3593</v>
      </c>
      <c r="I605" s="22" t="s">
        <v>3634</v>
      </c>
      <c r="J605" s="5" t="str">
        <f ca="1">IFERROR(__xludf.DUMMYFUNCTION("GOOGLETRANSLATE(G605,""ar"",""en"")"),"waves")</f>
        <v>waves</v>
      </c>
      <c r="K605" s="5">
        <v>504290775</v>
      </c>
      <c r="L605" s="5" t="s">
        <v>1665</v>
      </c>
      <c r="M605" s="5" t="str">
        <f ca="1">IFERROR(__xludf.DUMMYFUNCTION("GOOGLETRANSLATE(J605,""ar"",""en"")"),"Yahya")</f>
        <v>Yahya</v>
      </c>
      <c r="N605" s="6" t="s">
        <v>2532</v>
      </c>
      <c r="O605" s="10" t="s">
        <v>2533</v>
      </c>
    </row>
    <row r="606" spans="1:15" ht="20.100000000000001" customHeight="1" thickTop="1" thickBot="1">
      <c r="A606" s="1"/>
      <c r="B606" s="22">
        <v>605</v>
      </c>
      <c r="C606" s="22" t="s">
        <v>2534</v>
      </c>
      <c r="D606" s="22" t="s">
        <v>13</v>
      </c>
      <c r="E606" s="23" t="s">
        <v>2535</v>
      </c>
      <c r="F606" s="22" t="str">
        <f ca="1">IFERROR(__xludf.DUMMYFUNCTION("GOOGLETRANSLATE(E606,""ar"",""en"")"),"Rukn Warbah Foundation")</f>
        <v>Rukn Warbah Foundation</v>
      </c>
      <c r="G606" s="22" t="s">
        <v>2756</v>
      </c>
      <c r="H606" s="24" t="s">
        <v>3593</v>
      </c>
      <c r="I606" s="22" t="s">
        <v>3634</v>
      </c>
      <c r="J606" s="5" t="str">
        <f ca="1">IFERROR(__xludf.DUMMYFUNCTION("GOOGLETRANSLATE(G606,""ar"",""en"")"),"waves")</f>
        <v>waves</v>
      </c>
      <c r="K606" s="11">
        <v>500507827</v>
      </c>
      <c r="L606" s="11" t="s">
        <v>919</v>
      </c>
      <c r="M606" s="5" t="str">
        <f ca="1">IFERROR(__xludf.DUMMYFUNCTION("GOOGLETRANSLATE(J606,""ar"",""en"")"),"righteous")</f>
        <v>righteous</v>
      </c>
      <c r="N606" s="12" t="s">
        <v>2536</v>
      </c>
      <c r="O606" s="10" t="s">
        <v>2537</v>
      </c>
    </row>
    <row r="607" spans="1:15" ht="20.100000000000001" customHeight="1" thickTop="1" thickBot="1">
      <c r="A607" s="1"/>
      <c r="B607" s="22">
        <v>606</v>
      </c>
      <c r="C607" s="22" t="s">
        <v>2538</v>
      </c>
      <c r="D607" s="22" t="s">
        <v>13</v>
      </c>
      <c r="E607" s="22" t="s">
        <v>2539</v>
      </c>
      <c r="F607" s="22" t="str">
        <f ca="1">IFERROR(__xludf.DUMMYFUNCTION("GOOGLETRANSLATE(E607,""ar"",""en"")"),"Fares Al Kawthar Supplies")</f>
        <v>Fares Al Kawthar Supplies</v>
      </c>
      <c r="G607" s="22" t="s">
        <v>2756</v>
      </c>
      <c r="H607" s="24" t="s">
        <v>3593</v>
      </c>
      <c r="I607" s="22" t="s">
        <v>3650</v>
      </c>
      <c r="J607" s="5" t="str">
        <f ca="1">IFERROR(__xludf.DUMMYFUNCTION("GOOGLETRANSLATE(G607,""ar"",""en"")"),"Al-Kawthar")</f>
        <v>Al-Kawthar</v>
      </c>
      <c r="K607" s="5"/>
      <c r="L607" s="5"/>
      <c r="M607" s="5" t="str">
        <f ca="1">IFERROR(__xludf.DUMMYFUNCTION("GOOGLETRANSLATE(J607,""ar"",""en"")"),"#VALUE!")</f>
        <v>#VALUE!</v>
      </c>
      <c r="N607" s="6" t="s">
        <v>2540</v>
      </c>
      <c r="O607" s="10" t="s">
        <v>2541</v>
      </c>
    </row>
    <row r="608" spans="1:15" ht="20.100000000000001" customHeight="1" thickTop="1" thickBot="1">
      <c r="A608" s="1"/>
      <c r="B608" s="22">
        <v>607</v>
      </c>
      <c r="C608" s="22" t="s">
        <v>2542</v>
      </c>
      <c r="D608" s="22" t="s">
        <v>13</v>
      </c>
      <c r="E608" s="23" t="s">
        <v>2543</v>
      </c>
      <c r="F608" s="22" t="str">
        <f ca="1">IFERROR(__xludf.DUMMYFUNCTION("GOOGLETRANSLATE(E608,""ar"",""en"")"),"Captain's Supplies")</f>
        <v>Captain's Supplies</v>
      </c>
      <c r="G608" s="22" t="s">
        <v>2756</v>
      </c>
      <c r="H608" s="24" t="s">
        <v>3593</v>
      </c>
      <c r="I608" s="22" t="s">
        <v>3650</v>
      </c>
      <c r="J608" s="5" t="str">
        <f ca="1">IFERROR(__xludf.DUMMYFUNCTION("GOOGLETRANSLATE(G608,""ar"",""en"")"),"Al-Kawthar")</f>
        <v>Al-Kawthar</v>
      </c>
      <c r="K608" s="11">
        <v>501495658</v>
      </c>
      <c r="L608" s="11" t="s">
        <v>2544</v>
      </c>
      <c r="M608" s="5" t="str">
        <f ca="1">IFERROR(__xludf.DUMMYFUNCTION("GOOGLETRANSLATE(J608,""ar"",""en"")"),"Walid Hatem")</f>
        <v>Walid Hatem</v>
      </c>
      <c r="N608" s="12" t="s">
        <v>2545</v>
      </c>
      <c r="O608" s="10" t="s">
        <v>2546</v>
      </c>
    </row>
    <row r="609" spans="1:15" ht="20.100000000000001" customHeight="1" thickTop="1" thickBot="1">
      <c r="A609" s="1"/>
      <c r="B609" s="22">
        <v>608</v>
      </c>
      <c r="C609" s="22" t="s">
        <v>2547</v>
      </c>
      <c r="D609" s="22" t="s">
        <v>13</v>
      </c>
      <c r="E609" s="22" t="s">
        <v>2548</v>
      </c>
      <c r="F609" s="22" t="str">
        <f ca="1">IFERROR(__xludf.DUMMYFUNCTION("GOOGLETRANSLATE(E609,""ar"",""en"")"),"El Seven Supermarket")</f>
        <v>El Seven Supermarket</v>
      </c>
      <c r="G609" s="22" t="s">
        <v>2756</v>
      </c>
      <c r="H609" s="24" t="s">
        <v>3593</v>
      </c>
      <c r="I609" s="22" t="s">
        <v>3685</v>
      </c>
      <c r="J609" s="5" t="str">
        <f ca="1">IFERROR(__xludf.DUMMYFUNCTION("GOOGLETRANSLATE(G609,""ar"",""en"")"),"sail")</f>
        <v>sail</v>
      </c>
      <c r="K609" s="5">
        <v>506502163</v>
      </c>
      <c r="L609" s="5" t="s">
        <v>2549</v>
      </c>
      <c r="M609" s="5" t="str">
        <f ca="1">IFERROR(__xludf.DUMMYFUNCTION("GOOGLETRANSLATE(J609,""ar"",""en"")"),"Mansour Al-Maliki")</f>
        <v>Mansour Al-Maliki</v>
      </c>
      <c r="N609" s="6" t="s">
        <v>2550</v>
      </c>
      <c r="O609" s="10" t="s">
        <v>2551</v>
      </c>
    </row>
    <row r="610" spans="1:15" ht="20.100000000000001" customHeight="1" thickTop="1" thickBot="1">
      <c r="A610" s="1"/>
      <c r="B610" s="22">
        <v>609</v>
      </c>
      <c r="C610" s="22" t="s">
        <v>2552</v>
      </c>
      <c r="D610" s="22" t="s">
        <v>13</v>
      </c>
      <c r="E610" s="23" t="s">
        <v>2553</v>
      </c>
      <c r="F610" s="22" t="str">
        <f ca="1">IFERROR(__xludf.DUMMYFUNCTION("GOOGLETRANSLATE(E610,""ar"",""en"")"),"Mazaya Al-Nujoom Grocery")</f>
        <v>Mazaya Al-Nujoom Grocery</v>
      </c>
      <c r="G610" s="22" t="s">
        <v>2756</v>
      </c>
      <c r="H610" s="24" t="s">
        <v>3593</v>
      </c>
      <c r="I610" s="22" t="s">
        <v>3685</v>
      </c>
      <c r="J610" s="5" t="str">
        <f ca="1">IFERROR(__xludf.DUMMYFUNCTION("GOOGLETRANSLATE(G610,""ar"",""en"")"),"sail")</f>
        <v>sail</v>
      </c>
      <c r="K610" s="11">
        <v>542641963</v>
      </c>
      <c r="L610" s="11" t="s">
        <v>2554</v>
      </c>
      <c r="M610" s="5" t="str">
        <f ca="1">IFERROR(__xludf.DUMMYFUNCTION("GOOGLETRANSLATE(J610,""ar"",""en"")"),"Taha")</f>
        <v>Taha</v>
      </c>
      <c r="N610" s="12" t="s">
        <v>2555</v>
      </c>
      <c r="O610" s="10" t="s">
        <v>2556</v>
      </c>
    </row>
    <row r="611" spans="1:15" ht="20.100000000000001" customHeight="1" thickTop="1" thickBot="1">
      <c r="A611" s="1"/>
      <c r="B611" s="22">
        <v>610</v>
      </c>
      <c r="C611" s="22" t="s">
        <v>2557</v>
      </c>
      <c r="D611" s="22" t="s">
        <v>13</v>
      </c>
      <c r="E611" s="22" t="s">
        <v>2558</v>
      </c>
      <c r="F611" s="22" t="str">
        <f ca="1">IFERROR(__xludf.DUMMYFUNCTION("GOOGLETRANSLATE(E611,""ar"",""en"")"),"Shajarat Al-Durr Central Markets")</f>
        <v>Shajarat Al-Durr Central Markets</v>
      </c>
      <c r="G611" s="22" t="s">
        <v>2756</v>
      </c>
      <c r="H611" s="24" t="s">
        <v>3593</v>
      </c>
      <c r="I611" s="22" t="s">
        <v>3685</v>
      </c>
      <c r="J611" s="5" t="str">
        <f ca="1">IFERROR(__xludf.DUMMYFUNCTION("GOOGLETRANSLATE(G611,""ar"",""en"")"),"sail")</f>
        <v>sail</v>
      </c>
      <c r="K611" s="5">
        <v>561549399</v>
      </c>
      <c r="L611" s="5" t="s">
        <v>428</v>
      </c>
      <c r="M611" s="5" t="str">
        <f ca="1">IFERROR(__xludf.DUMMYFUNCTION("GOOGLETRANSLATE(J611,""ar"",""en"")"),"Mustafa")</f>
        <v>Mustafa</v>
      </c>
      <c r="N611" s="6" t="s">
        <v>2559</v>
      </c>
      <c r="O611" s="10" t="s">
        <v>2560</v>
      </c>
    </row>
    <row r="612" spans="1:15" ht="20.100000000000001" customHeight="1" thickTop="1" thickBot="1">
      <c r="A612" s="1"/>
      <c r="B612" s="22">
        <v>611</v>
      </c>
      <c r="C612" s="22" t="s">
        <v>2561</v>
      </c>
      <c r="D612" s="22" t="s">
        <v>13</v>
      </c>
      <c r="E612" s="23" t="s">
        <v>2562</v>
      </c>
      <c r="F612" s="22" t="str">
        <f ca="1">IFERROR(__xludf.DUMMYFUNCTION("GOOGLETRANSLATE(E612,""ar"",""en"")"),"Amwaj Al-Khair Basket Supplies")</f>
        <v>Amwaj Al-Khair Basket Supplies</v>
      </c>
      <c r="G612" s="22" t="s">
        <v>2756</v>
      </c>
      <c r="H612" s="24" t="s">
        <v>3593</v>
      </c>
      <c r="I612" s="22" t="s">
        <v>3685</v>
      </c>
      <c r="J612" s="5" t="str">
        <f ca="1">IFERROR(__xludf.DUMMYFUNCTION("GOOGLETRANSLATE(G612,""ar"",""en"")"),"sail")</f>
        <v>sail</v>
      </c>
      <c r="K612" s="11">
        <v>531175018</v>
      </c>
      <c r="L612" s="11" t="s">
        <v>919</v>
      </c>
      <c r="M612" s="5" t="str">
        <f ca="1">IFERROR(__xludf.DUMMYFUNCTION("GOOGLETRANSLATE(J612,""ar"",""en"")"),"righteous")</f>
        <v>righteous</v>
      </c>
      <c r="N612" s="12" t="s">
        <v>2563</v>
      </c>
      <c r="O612" s="10" t="s">
        <v>2564</v>
      </c>
    </row>
    <row r="613" spans="1:15" ht="20.100000000000001" customHeight="1" thickTop="1" thickBot="1">
      <c r="A613" s="1"/>
      <c r="B613" s="22">
        <v>612</v>
      </c>
      <c r="C613" s="22" t="s">
        <v>2565</v>
      </c>
      <c r="D613" s="22" t="s">
        <v>13</v>
      </c>
      <c r="E613" s="22" t="s">
        <v>2566</v>
      </c>
      <c r="F613" s="22" t="str">
        <f ca="1">IFERROR(__xludf.DUMMYFUNCTION("GOOGLETRANSLATE(E613,""ar"",""en"")"),"Al-Aziziyah entity")</f>
        <v>Al-Aziziyah entity</v>
      </c>
      <c r="G613" s="22" t="s">
        <v>2756</v>
      </c>
      <c r="H613" s="24" t="s">
        <v>3593</v>
      </c>
      <c r="I613" s="22" t="s">
        <v>3685</v>
      </c>
      <c r="J613" s="5" t="str">
        <f ca="1">IFERROR(__xludf.DUMMYFUNCTION("GOOGLETRANSLATE(G613,""ar"",""en"")"),"sail")</f>
        <v>sail</v>
      </c>
      <c r="K613" s="5">
        <v>537663280</v>
      </c>
      <c r="L613" s="5"/>
      <c r="M613" s="5" t="str">
        <f ca="1">IFERROR(__xludf.DUMMYFUNCTION("GOOGLETRANSLATE(J613,""ar"",""en"")"),"#VALUE!")</f>
        <v>#VALUE!</v>
      </c>
      <c r="N613" s="6" t="s">
        <v>2567</v>
      </c>
      <c r="O613" s="10" t="s">
        <v>2568</v>
      </c>
    </row>
    <row r="614" spans="1:15" ht="20.100000000000001" customHeight="1" thickTop="1" thickBot="1">
      <c r="A614" s="1"/>
      <c r="B614" s="22">
        <v>613</v>
      </c>
      <c r="C614" s="22" t="s">
        <v>2569</v>
      </c>
      <c r="D614" s="22" t="s">
        <v>13</v>
      </c>
      <c r="E614" s="23" t="s">
        <v>2570</v>
      </c>
      <c r="F614" s="22" t="str">
        <f ca="1">IFERROR(__xludf.DUMMYFUNCTION("GOOGLETRANSLATE(E614,""ar"",""en"")"),"Al-Ghazwani Supplies")</f>
        <v>Al-Ghazwani Supplies</v>
      </c>
      <c r="G614" s="22" t="s">
        <v>2756</v>
      </c>
      <c r="H614" s="24" t="s">
        <v>3593</v>
      </c>
      <c r="I614" s="22" t="s">
        <v>3685</v>
      </c>
      <c r="J614" s="5" t="str">
        <f ca="1">IFERROR(__xludf.DUMMYFUNCTION("GOOGLETRANSLATE(G614,""ar"",""en"")"),"sail")</f>
        <v>sail</v>
      </c>
      <c r="K614" s="11">
        <v>546625990</v>
      </c>
      <c r="L614" s="11" t="s">
        <v>1878</v>
      </c>
      <c r="M614" s="5" t="str">
        <f ca="1">IFERROR(__xludf.DUMMYFUNCTION("GOOGLETRANSLATE(J614,""ar"",""en"")"),"Faisal")</f>
        <v>Faisal</v>
      </c>
      <c r="N614" s="12" t="s">
        <v>2571</v>
      </c>
      <c r="O614" s="10" t="s">
        <v>2572</v>
      </c>
    </row>
    <row r="615" spans="1:15" ht="20.100000000000001" customHeight="1" thickTop="1" thickBot="1">
      <c r="A615" s="1"/>
      <c r="B615" s="22">
        <v>614</v>
      </c>
      <c r="C615" s="22" t="s">
        <v>2573</v>
      </c>
      <c r="D615" s="22" t="s">
        <v>13</v>
      </c>
      <c r="E615" s="22" t="s">
        <v>2574</v>
      </c>
      <c r="F615" s="22" t="str">
        <f ca="1">IFERROR(__xludf.DUMMYFUNCTION("GOOGLETRANSLATE(E615,""ar"",""en"")"),"Fairouz's litanies")</f>
        <v>Fairouz's litanies</v>
      </c>
      <c r="G615" s="22" t="s">
        <v>2756</v>
      </c>
      <c r="H615" s="24" t="s">
        <v>3593</v>
      </c>
      <c r="I615" s="22" t="s">
        <v>3685</v>
      </c>
      <c r="J615" s="5" t="str">
        <f ca="1">IFERROR(__xludf.DUMMYFUNCTION("GOOGLETRANSLATE(G615,""ar"",""en"")"),"sail")</f>
        <v>sail</v>
      </c>
      <c r="K615" s="5">
        <v>570045531</v>
      </c>
      <c r="L615" s="5" t="s">
        <v>2575</v>
      </c>
      <c r="M615" s="5" t="str">
        <f ca="1">IFERROR(__xludf.DUMMYFUNCTION("GOOGLETRANSLATE(J615,""ar"",""en"")"),"Nayef")</f>
        <v>Nayef</v>
      </c>
      <c r="N615" s="6" t="s">
        <v>2576</v>
      </c>
      <c r="O615" s="10" t="s">
        <v>2577</v>
      </c>
    </row>
    <row r="616" spans="1:15" ht="20.100000000000001" customHeight="1" thickTop="1" thickBot="1">
      <c r="A616" s="1"/>
      <c r="B616" s="22">
        <v>615</v>
      </c>
      <c r="C616" s="22" t="s">
        <v>2578</v>
      </c>
      <c r="D616" s="22" t="s">
        <v>13</v>
      </c>
      <c r="E616" s="23" t="s">
        <v>306</v>
      </c>
      <c r="F616" s="22" t="str">
        <f ca="1">IFERROR(__xludf.DUMMYFUNCTION("GOOGLETRANSLATE(E616,""ar"",""en"")"),"Customer service markets")</f>
        <v>Customer service markets</v>
      </c>
      <c r="G616" s="22" t="s">
        <v>2756</v>
      </c>
      <c r="H616" s="24" t="s">
        <v>3593</v>
      </c>
      <c r="I616" s="23" t="s">
        <v>3644</v>
      </c>
      <c r="J616" s="5" t="str">
        <f ca="1">IFERROR(__xludf.DUMMYFUNCTION("GOOGLETRANSLATE(G616,""ar"",""en"")"),"Please")</f>
        <v>Please</v>
      </c>
      <c r="K616" s="11">
        <v>532931943</v>
      </c>
      <c r="L616" s="11" t="s">
        <v>294</v>
      </c>
      <c r="M616" s="5" t="str">
        <f ca="1">IFERROR(__xludf.DUMMYFUNCTION("GOOGLETRANSLATE(J616,""ar"",""en"")"),"Mohammed")</f>
        <v>Mohammed</v>
      </c>
      <c r="N616" s="12" t="s">
        <v>2579</v>
      </c>
      <c r="O616" s="10" t="s">
        <v>2580</v>
      </c>
    </row>
    <row r="617" spans="1:15" ht="20.100000000000001" customHeight="1" thickTop="1" thickBot="1">
      <c r="A617" s="1"/>
      <c r="B617" s="22">
        <v>616</v>
      </c>
      <c r="C617" s="22" t="s">
        <v>2581</v>
      </c>
      <c r="D617" s="22" t="s">
        <v>13</v>
      </c>
      <c r="E617" s="22" t="s">
        <v>2582</v>
      </c>
      <c r="F617" s="22" t="str">
        <f ca="1">IFERROR(__xludf.DUMMYFUNCTION("GOOGLETRANSLATE(E617,""ar"",""en"")"),"Nargis Supermarket")</f>
        <v>Nargis Supermarket</v>
      </c>
      <c r="G617" s="22" t="s">
        <v>2756</v>
      </c>
      <c r="H617" s="24" t="s">
        <v>3593</v>
      </c>
      <c r="I617" s="22" t="s">
        <v>3685</v>
      </c>
      <c r="J617" s="5" t="str">
        <f ca="1">IFERROR(__xludf.DUMMYFUNCTION("GOOGLETRANSLATE(G617,""ar"",""en"")"),"sail")</f>
        <v>sail</v>
      </c>
      <c r="K617" s="5">
        <v>535192412</v>
      </c>
      <c r="L617" s="5" t="s">
        <v>499</v>
      </c>
      <c r="M617" s="5" t="str">
        <f ca="1">IFERROR(__xludf.DUMMYFUNCTION("GOOGLETRANSLATE(J617,""ar"",""en"")"),"Yusef")</f>
        <v>Yusef</v>
      </c>
      <c r="N617" s="6" t="s">
        <v>2583</v>
      </c>
      <c r="O617" s="10" t="s">
        <v>2584</v>
      </c>
    </row>
    <row r="618" spans="1:15" ht="20.100000000000001" customHeight="1" thickTop="1" thickBot="1">
      <c r="A618" s="1"/>
      <c r="B618" s="22">
        <v>617</v>
      </c>
      <c r="C618" s="22" t="s">
        <v>2585</v>
      </c>
      <c r="D618" s="22" t="s">
        <v>13</v>
      </c>
      <c r="E618" s="23" t="s">
        <v>2586</v>
      </c>
      <c r="F618" s="22" t="str">
        <f ca="1">IFERROR(__xludf.DUMMYFUNCTION("GOOGLETRANSLATE(E618,""ar"",""en"")"),"The solid grocery store")</f>
        <v>The solid grocery store</v>
      </c>
      <c r="G618" s="22" t="s">
        <v>2756</v>
      </c>
      <c r="H618" s="24" t="s">
        <v>3593</v>
      </c>
      <c r="I618" s="22" t="s">
        <v>3685</v>
      </c>
      <c r="J618" s="5" t="str">
        <f ca="1">IFERROR(__xludf.DUMMYFUNCTION("GOOGLETRANSLATE(G618,""ar"",""en"")"),"sail")</f>
        <v>sail</v>
      </c>
      <c r="K618" s="11">
        <v>506552821</v>
      </c>
      <c r="L618" s="11" t="s">
        <v>919</v>
      </c>
      <c r="M618" s="5" t="str">
        <f ca="1">IFERROR(__xludf.DUMMYFUNCTION("GOOGLETRANSLATE(J618,""ar"",""en"")"),"righteous")</f>
        <v>righteous</v>
      </c>
      <c r="N618" s="12" t="s">
        <v>2587</v>
      </c>
      <c r="O618" s="10" t="s">
        <v>2588</v>
      </c>
    </row>
    <row r="619" spans="1:15" ht="20.100000000000001" customHeight="1" thickTop="1" thickBot="1">
      <c r="A619" s="1"/>
      <c r="B619" s="22">
        <v>618</v>
      </c>
      <c r="C619" s="22" t="s">
        <v>2589</v>
      </c>
      <c r="D619" s="22" t="s">
        <v>13</v>
      </c>
      <c r="E619" s="22" t="s">
        <v>2590</v>
      </c>
      <c r="F619" s="22" t="str">
        <f ca="1">IFERROR(__xludf.DUMMYFUNCTION("GOOGLETRANSLATE(E619,""ar"",""en"")"),"Family basket")</f>
        <v>Family basket</v>
      </c>
      <c r="G619" s="22" t="s">
        <v>2756</v>
      </c>
      <c r="H619" s="24" t="s">
        <v>3593</v>
      </c>
      <c r="I619" s="22" t="s">
        <v>3685</v>
      </c>
      <c r="J619" s="5" t="str">
        <f ca="1">IFERROR(__xludf.DUMMYFUNCTION("GOOGLETRANSLATE(G619,""ar"",""en"")"),"sail")</f>
        <v>sail</v>
      </c>
      <c r="K619" s="5"/>
      <c r="L619" s="5"/>
      <c r="M619" s="5" t="str">
        <f ca="1">IFERROR(__xludf.DUMMYFUNCTION("GOOGLETRANSLATE(J619,""ar"",""en"")"),"#VALUE!")</f>
        <v>#VALUE!</v>
      </c>
      <c r="N619" s="6" t="s">
        <v>2591</v>
      </c>
      <c r="O619" s="10" t="s">
        <v>2592</v>
      </c>
    </row>
    <row r="620" spans="1:15" ht="20.100000000000001" customHeight="1" thickTop="1" thickBot="1">
      <c r="A620" s="1"/>
      <c r="B620" s="22">
        <v>619</v>
      </c>
      <c r="C620" s="22" t="s">
        <v>2593</v>
      </c>
      <c r="D620" s="22" t="s">
        <v>13</v>
      </c>
      <c r="E620" s="23" t="s">
        <v>2594</v>
      </c>
      <c r="F620" s="22" t="str">
        <f ca="1">IFERROR(__xludf.DUMMYFUNCTION("GOOGLETRANSLATE(E620,""ar"",""en"")"),"Al-Sayari Markets and Bakeries")</f>
        <v>Al-Sayari Markets and Bakeries</v>
      </c>
      <c r="G620" s="22" t="s">
        <v>2756</v>
      </c>
      <c r="H620" s="24" t="s">
        <v>3593</v>
      </c>
      <c r="I620" s="22" t="s">
        <v>3685</v>
      </c>
      <c r="J620" s="5" t="str">
        <f ca="1">IFERROR(__xludf.DUMMYFUNCTION("GOOGLETRANSLATE(G620,""ar"",""en"")"),"sail")</f>
        <v>sail</v>
      </c>
      <c r="K620" s="11">
        <v>533987549</v>
      </c>
      <c r="L620" s="11" t="s">
        <v>294</v>
      </c>
      <c r="M620" s="5" t="str">
        <f ca="1">IFERROR(__xludf.DUMMYFUNCTION("GOOGLETRANSLATE(J620,""ar"",""en"")"),"Mohammed")</f>
        <v>Mohammed</v>
      </c>
      <c r="N620" s="12" t="s">
        <v>2595</v>
      </c>
      <c r="O620" s="10" t="s">
        <v>2596</v>
      </c>
    </row>
    <row r="621" spans="1:15" ht="20.100000000000001" customHeight="1" thickTop="1" thickBot="1">
      <c r="A621" s="1"/>
      <c r="B621" s="22">
        <v>620</v>
      </c>
      <c r="C621" s="22" t="s">
        <v>2597</v>
      </c>
      <c r="D621" s="22" t="s">
        <v>13</v>
      </c>
      <c r="E621" s="22" t="s">
        <v>2598</v>
      </c>
      <c r="F621" s="22" t="str">
        <f ca="1">IFERROR(__xludf.DUMMYFUNCTION("GOOGLETRANSLATE(E621,""ar"",""en"")"),"Al-Shiraa neighborhood grocery store")</f>
        <v>Al-Shiraa neighborhood grocery store</v>
      </c>
      <c r="G621" s="22" t="s">
        <v>2756</v>
      </c>
      <c r="H621" s="24" t="s">
        <v>3593</v>
      </c>
      <c r="I621" s="22" t="s">
        <v>3685</v>
      </c>
      <c r="J621" s="5" t="str">
        <f ca="1">IFERROR(__xludf.DUMMYFUNCTION("GOOGLETRANSLATE(G621,""ar"",""en"")"),"sail")</f>
        <v>sail</v>
      </c>
      <c r="K621" s="5"/>
      <c r="L621" s="5"/>
      <c r="M621" s="5" t="str">
        <f ca="1">IFERROR(__xludf.DUMMYFUNCTION("GOOGLETRANSLATE(J621,""ar"",""en"")"),"#VALUE!")</f>
        <v>#VALUE!</v>
      </c>
      <c r="N621" s="6" t="s">
        <v>2599</v>
      </c>
      <c r="O621" s="10" t="s">
        <v>2600</v>
      </c>
    </row>
    <row r="622" spans="1:15" ht="20.100000000000001" customHeight="1" thickTop="1" thickBot="1">
      <c r="A622" s="1"/>
      <c r="B622" s="22">
        <v>621</v>
      </c>
      <c r="C622" s="22" t="s">
        <v>2601</v>
      </c>
      <c r="D622" s="22" t="s">
        <v>13</v>
      </c>
      <c r="E622" s="23" t="s">
        <v>2602</v>
      </c>
      <c r="F622" s="22" t="str">
        <f ca="1">IFERROR(__xludf.DUMMYFUNCTION("GOOGLETRANSLATE(E622,""ar"",""en"")"),"Najoum Hala Markets")</f>
        <v>Najoum Hala Markets</v>
      </c>
      <c r="G622" s="22" t="s">
        <v>2756</v>
      </c>
      <c r="H622" s="24" t="s">
        <v>3593</v>
      </c>
      <c r="I622" s="22" t="s">
        <v>3685</v>
      </c>
      <c r="J622" s="5" t="str">
        <f ca="1">IFERROR(__xludf.DUMMYFUNCTION("GOOGLETRANSLATE(G622,""ar"",""en"")"),"sail")</f>
        <v>sail</v>
      </c>
      <c r="K622" s="11">
        <v>557590443</v>
      </c>
      <c r="L622" s="11" t="s">
        <v>2603</v>
      </c>
      <c r="M622" s="5" t="str">
        <f ca="1">IFERROR(__xludf.DUMMYFUNCTION("GOOGLETRANSLATE(J622,""ar"",""en"")"),"Ali Ahmed")</f>
        <v>Ali Ahmed</v>
      </c>
      <c r="N622" s="12" t="s">
        <v>2604</v>
      </c>
      <c r="O622" s="10" t="s">
        <v>2605</v>
      </c>
    </row>
    <row r="623" spans="1:15" ht="20.100000000000001" customHeight="1" thickTop="1" thickBot="1">
      <c r="A623" s="1"/>
      <c r="B623" s="22">
        <v>622</v>
      </c>
      <c r="C623" s="22" t="s">
        <v>2606</v>
      </c>
      <c r="D623" s="22" t="s">
        <v>13</v>
      </c>
      <c r="E623" s="22" t="s">
        <v>617</v>
      </c>
      <c r="F623" s="22" t="str">
        <f ca="1">IFERROR(__xludf.DUMMYFUNCTION("GOOGLETRANSLATE(E623,""ar"",""en"")"),"Multaqa Al Tawfeer Supermarket")</f>
        <v>Multaqa Al Tawfeer Supermarket</v>
      </c>
      <c r="G623" s="22" t="s">
        <v>2756</v>
      </c>
      <c r="H623" s="24" t="s">
        <v>3593</v>
      </c>
      <c r="I623" s="22" t="s">
        <v>3685</v>
      </c>
      <c r="J623" s="5" t="str">
        <f ca="1">IFERROR(__xludf.DUMMYFUNCTION("GOOGLETRANSLATE(G623,""ar"",""en"")"),"sail")</f>
        <v>sail</v>
      </c>
      <c r="K623" s="5">
        <v>506435324</v>
      </c>
      <c r="L623" s="5" t="s">
        <v>2607</v>
      </c>
      <c r="M623" s="5" t="str">
        <f ca="1">IFERROR(__xludf.DUMMYFUNCTION("GOOGLETRANSLATE(J623,""ar"",""en"")"),"Ghalib")</f>
        <v>Ghalib</v>
      </c>
      <c r="N623" s="6" t="s">
        <v>2608</v>
      </c>
      <c r="O623" s="10" t="s">
        <v>2609</v>
      </c>
    </row>
    <row r="624" spans="1:15" ht="20.100000000000001" customHeight="1" thickTop="1" thickBot="1">
      <c r="A624" s="1"/>
      <c r="B624" s="22">
        <v>623</v>
      </c>
      <c r="C624" s="22" t="s">
        <v>2610</v>
      </c>
      <c r="D624" s="22" t="s">
        <v>13</v>
      </c>
      <c r="E624" s="23" t="s">
        <v>3682</v>
      </c>
      <c r="F624" s="22" t="str">
        <f ca="1">IFERROR(__xludf.DUMMYFUNCTION("GOOGLETRANSLATE(E624,""ar"",""en"")"),"#VALUE!")</f>
        <v>#VALUE!</v>
      </c>
      <c r="G624" s="22" t="s">
        <v>2756</v>
      </c>
      <c r="H624" s="24" t="s">
        <v>3593</v>
      </c>
      <c r="I624" s="22" t="s">
        <v>3685</v>
      </c>
      <c r="J624" s="5" t="str">
        <f ca="1">IFERROR(__xludf.DUMMYFUNCTION("GOOGLETRANSLATE(G624,""ar"",""en"")"),"#VALUE!")</f>
        <v>#VALUE!</v>
      </c>
      <c r="K624" s="11"/>
      <c r="L624" s="11"/>
      <c r="M624" s="5" t="str">
        <f ca="1">IFERROR(__xludf.DUMMYFUNCTION("GOOGLETRANSLATE(J624,""ar"",""en"")"),"#VALUE!")</f>
        <v>#VALUE!</v>
      </c>
      <c r="N624" s="12" t="s">
        <v>2611</v>
      </c>
      <c r="O624" s="10" t="s">
        <v>2612</v>
      </c>
    </row>
    <row r="625" spans="1:15" ht="20.100000000000001" customHeight="1" thickTop="1" thickBot="1">
      <c r="A625" s="1"/>
      <c r="B625" s="22">
        <v>624</v>
      </c>
      <c r="C625" s="22" t="s">
        <v>2613</v>
      </c>
      <c r="D625" s="22" t="s">
        <v>13</v>
      </c>
      <c r="E625" s="22" t="s">
        <v>2614</v>
      </c>
      <c r="F625" s="22" t="str">
        <f ca="1">IFERROR(__xludf.DUMMYFUNCTION("GOOGLETRANSLATE(E625,""ar"",""en"")"),"Baskets of Statement Supplies")</f>
        <v>Baskets of Statement Supplies</v>
      </c>
      <c r="G625" s="22" t="s">
        <v>2756</v>
      </c>
      <c r="H625" s="24" t="s">
        <v>3593</v>
      </c>
      <c r="I625" s="22" t="s">
        <v>3687</v>
      </c>
      <c r="J625" s="5" t="str">
        <f ca="1">IFERROR(__xludf.DUMMYFUNCTION("GOOGLETRANSLATE(G625,""ar"",""en"")"),"Masts")</f>
        <v>Masts</v>
      </c>
      <c r="K625" s="5">
        <v>507166326</v>
      </c>
      <c r="L625" s="5" t="s">
        <v>2615</v>
      </c>
      <c r="M625" s="5" t="str">
        <f ca="1">IFERROR(__xludf.DUMMYFUNCTION("GOOGLETRANSLATE(J625,""ar"",""en"")"),"Abdulaziz")</f>
        <v>Abdulaziz</v>
      </c>
      <c r="N625" s="6" t="s">
        <v>2616</v>
      </c>
      <c r="O625" s="10" t="s">
        <v>2617</v>
      </c>
    </row>
    <row r="626" spans="1:15" ht="20.100000000000001" customHeight="1" thickTop="1" thickBot="1">
      <c r="A626" s="1"/>
      <c r="B626" s="22">
        <v>625</v>
      </c>
      <c r="C626" s="22" t="s">
        <v>2618</v>
      </c>
      <c r="D626" s="22" t="s">
        <v>13</v>
      </c>
      <c r="E626" s="23" t="s">
        <v>2619</v>
      </c>
      <c r="F626" s="22" t="str">
        <f ca="1">IFERROR(__xludf.DUMMYFUNCTION("GOOGLETRANSLATE(E626,""ar"",""en"")"),"Eshraqat Al Bayan Supplies")</f>
        <v>Eshraqat Al Bayan Supplies</v>
      </c>
      <c r="G626" s="22" t="s">
        <v>2756</v>
      </c>
      <c r="H626" s="24" t="s">
        <v>3593</v>
      </c>
      <c r="I626" s="22" t="s">
        <v>3687</v>
      </c>
      <c r="J626" s="5" t="str">
        <f ca="1">IFERROR(__xludf.DUMMYFUNCTION("GOOGLETRANSLATE(G626,""ar"",""en"")"),"Masts")</f>
        <v>Masts</v>
      </c>
      <c r="K626" s="11"/>
      <c r="L626" s="11"/>
      <c r="M626" s="5" t="str">
        <f ca="1">IFERROR(__xludf.DUMMYFUNCTION("GOOGLETRANSLATE(J626,""ar"",""en"")"),"#VALUE!")</f>
        <v>#VALUE!</v>
      </c>
      <c r="N626" s="12" t="s">
        <v>2620</v>
      </c>
      <c r="O626" s="10" t="s">
        <v>2621</v>
      </c>
    </row>
    <row r="627" spans="1:15" ht="20.100000000000001" customHeight="1" thickTop="1" thickBot="1">
      <c r="A627" s="1"/>
      <c r="B627" s="22">
        <v>626</v>
      </c>
      <c r="C627" s="22" t="s">
        <v>2622</v>
      </c>
      <c r="D627" s="22" t="s">
        <v>13</v>
      </c>
      <c r="E627" s="22" t="s">
        <v>157</v>
      </c>
      <c r="F627" s="22" t="str">
        <f ca="1">IFERROR(__xludf.DUMMYFUNCTION("GOOGLETRANSLATE(E627,""ar"",""en"")"),"Darb Al-Asima Markets")</f>
        <v>Darb Al-Asima Markets</v>
      </c>
      <c r="G627" s="22" t="s">
        <v>2756</v>
      </c>
      <c r="H627" s="24" t="s">
        <v>3593</v>
      </c>
      <c r="I627" s="22" t="s">
        <v>3687</v>
      </c>
      <c r="J627" s="5" t="str">
        <f ca="1">IFERROR(__xludf.DUMMYFUNCTION("GOOGLETRANSLATE(G627,""ar"",""en"")"),"Masts")</f>
        <v>Masts</v>
      </c>
      <c r="K627" s="5">
        <v>507753841</v>
      </c>
      <c r="L627" s="5" t="s">
        <v>1051</v>
      </c>
      <c r="M627" s="5" t="str">
        <f ca="1">IFERROR(__xludf.DUMMYFUNCTION("GOOGLETRANSLATE(J627,""ar"",""en"")"),"What is with you")</f>
        <v>What is with you</v>
      </c>
      <c r="N627" s="6" t="s">
        <v>2623</v>
      </c>
      <c r="O627" s="10" t="s">
        <v>2624</v>
      </c>
    </row>
    <row r="628" spans="1:15" ht="20.100000000000001" customHeight="1" thickTop="1" thickBot="1">
      <c r="A628" s="1"/>
      <c r="B628" s="22">
        <v>627</v>
      </c>
      <c r="C628" s="22" t="s">
        <v>2625</v>
      </c>
      <c r="D628" s="22" t="s">
        <v>13</v>
      </c>
      <c r="E628" s="23" t="s">
        <v>14</v>
      </c>
      <c r="F628" s="22" t="str">
        <f ca="1">IFERROR(__xludf.DUMMYFUNCTION("GOOGLETRANSLATE(E628,""ar"",""en"")"),"Madar Catering")</f>
        <v>Madar Catering</v>
      </c>
      <c r="G628" s="22" t="s">
        <v>2756</v>
      </c>
      <c r="H628" s="24" t="s">
        <v>3593</v>
      </c>
      <c r="I628" s="22" t="s">
        <v>3687</v>
      </c>
      <c r="J628" s="5" t="str">
        <f ca="1">IFERROR(__xludf.DUMMYFUNCTION("GOOGLETRANSLATE(G628,""ar"",""en"")"),"Masts")</f>
        <v>Masts</v>
      </c>
      <c r="K628" s="11">
        <v>501207395</v>
      </c>
      <c r="L628" s="11"/>
      <c r="M628" s="5" t="str">
        <f ca="1">IFERROR(__xludf.DUMMYFUNCTION("GOOGLETRANSLATE(J628,""ar"",""en"")"),"#VALUE!")</f>
        <v>#VALUE!</v>
      </c>
      <c r="N628" s="12" t="s">
        <v>2626</v>
      </c>
      <c r="O628" s="10" t="s">
        <v>2627</v>
      </c>
    </row>
    <row r="629" spans="1:15" ht="20.100000000000001" customHeight="1" thickTop="1" thickBot="1">
      <c r="A629" s="1"/>
      <c r="B629" s="22">
        <v>628</v>
      </c>
      <c r="C629" s="22" t="s">
        <v>2628</v>
      </c>
      <c r="D629" s="22" t="s">
        <v>13</v>
      </c>
      <c r="E629" s="22" t="s">
        <v>2629</v>
      </c>
      <c r="F629" s="22" t="str">
        <f ca="1">IFERROR(__xludf.DUMMYFUNCTION("GOOGLETRANSLATE(E629,""ar"",""en"")"),"Entrance Supplies")</f>
        <v>Entrance Supplies</v>
      </c>
      <c r="G629" s="22" t="s">
        <v>2756</v>
      </c>
      <c r="H629" s="24" t="s">
        <v>3593</v>
      </c>
      <c r="I629" s="22" t="s">
        <v>3687</v>
      </c>
      <c r="J629" s="5" t="str">
        <f ca="1">IFERROR(__xludf.DUMMYFUNCTION("GOOGLETRANSLATE(G629,""ar"",""en"")"),"Masts")</f>
        <v>Masts</v>
      </c>
      <c r="K629" s="5"/>
      <c r="L629" s="5"/>
      <c r="M629" s="5" t="str">
        <f ca="1">IFERROR(__xludf.DUMMYFUNCTION("GOOGLETRANSLATE(J629,""ar"",""en"")"),"#VALUE!")</f>
        <v>#VALUE!</v>
      </c>
      <c r="N629" s="6" t="s">
        <v>2630</v>
      </c>
      <c r="O629" s="10" t="s">
        <v>2631</v>
      </c>
    </row>
    <row r="630" spans="1:15" ht="20.100000000000001" customHeight="1" thickTop="1" thickBot="1">
      <c r="A630" s="1"/>
      <c r="B630" s="22">
        <v>629</v>
      </c>
      <c r="C630" s="22" t="s">
        <v>2632</v>
      </c>
      <c r="D630" s="22" t="s">
        <v>13</v>
      </c>
      <c r="E630" s="23" t="s">
        <v>2633</v>
      </c>
      <c r="F630" s="22" t="str">
        <f ca="1">IFERROR(__xludf.DUMMYFUNCTION("GOOGLETRANSLATE(E630,""ar"",""en"")"),"Samaa Al-Aziziyah Markets and Bakeries")</f>
        <v>Samaa Al-Aziziyah Markets and Bakeries</v>
      </c>
      <c r="G630" s="22" t="s">
        <v>2756</v>
      </c>
      <c r="H630" s="24" t="s">
        <v>3593</v>
      </c>
      <c r="I630" s="22" t="s">
        <v>3687</v>
      </c>
      <c r="J630" s="5" t="str">
        <f ca="1">IFERROR(__xludf.DUMMYFUNCTION("GOOGLETRANSLATE(G630,""ar"",""en"")"),"Masts")</f>
        <v>Masts</v>
      </c>
      <c r="K630" s="11">
        <v>550886175</v>
      </c>
      <c r="L630" s="11" t="s">
        <v>2634</v>
      </c>
      <c r="M630" s="5" t="str">
        <f ca="1">IFERROR(__xludf.DUMMYFUNCTION("GOOGLETRANSLATE(J630,""ar"",""en"")"),"Abu Abdul Aziz")</f>
        <v>Abu Abdul Aziz</v>
      </c>
      <c r="N630" s="12" t="s">
        <v>2635</v>
      </c>
      <c r="O630" s="10" t="s">
        <v>2636</v>
      </c>
    </row>
    <row r="631" spans="1:15" ht="20.100000000000001" customHeight="1" thickTop="1" thickBot="1">
      <c r="A631" s="1"/>
      <c r="B631" s="22">
        <v>630</v>
      </c>
      <c r="C631" s="22" t="s">
        <v>2637</v>
      </c>
      <c r="D631" s="22" t="s">
        <v>13</v>
      </c>
      <c r="E631" s="22" t="s">
        <v>2638</v>
      </c>
      <c r="F631" s="22" t="str">
        <f ca="1">IFERROR(__xludf.DUMMYFUNCTION("GOOGLETRANSLATE(E631,""ar"",""en"")"),"Jawal Market")</f>
        <v>Jawal Market</v>
      </c>
      <c r="G631" s="22" t="s">
        <v>2756</v>
      </c>
      <c r="H631" s="24" t="s">
        <v>3593</v>
      </c>
      <c r="I631" s="22" t="s">
        <v>3687</v>
      </c>
      <c r="J631" s="5" t="str">
        <f ca="1">IFERROR(__xludf.DUMMYFUNCTION("GOOGLETRANSLATE(G631,""ar"",""en"")"),"Masts")</f>
        <v>Masts</v>
      </c>
      <c r="K631" s="5"/>
      <c r="L631" s="5"/>
      <c r="M631" s="5" t="str">
        <f ca="1">IFERROR(__xludf.DUMMYFUNCTION("GOOGLETRANSLATE(J631,""ar"",""en"")"),"#VALUE!")</f>
        <v>#VALUE!</v>
      </c>
      <c r="N631" s="6" t="s">
        <v>2639</v>
      </c>
      <c r="O631" s="10" t="s">
        <v>2640</v>
      </c>
    </row>
    <row r="632" spans="1:15" ht="20.100000000000001" customHeight="1" thickTop="1" thickBot="1">
      <c r="A632" s="1"/>
      <c r="B632" s="22">
        <v>631</v>
      </c>
      <c r="C632" s="22" t="s">
        <v>2641</v>
      </c>
      <c r="D632" s="22" t="s">
        <v>13</v>
      </c>
      <c r="E632" s="23" t="s">
        <v>2642</v>
      </c>
      <c r="F632" s="22" t="str">
        <f ca="1">IFERROR(__xludf.DUMMYFUNCTION("GOOGLETRANSLATE(E632,""ar"",""en"")"),"Economic Ocean Markets")</f>
        <v>Economic Ocean Markets</v>
      </c>
      <c r="G632" s="22" t="s">
        <v>2756</v>
      </c>
      <c r="H632" s="24" t="s">
        <v>3593</v>
      </c>
      <c r="I632" s="22" t="s">
        <v>3687</v>
      </c>
      <c r="J632" s="5" t="str">
        <f ca="1">IFERROR(__xludf.DUMMYFUNCTION("GOOGLETRANSLATE(G632,""ar"",""en"")"),"Masts")</f>
        <v>Masts</v>
      </c>
      <c r="K632" s="11"/>
      <c r="L632" s="11"/>
      <c r="M632" s="5" t="str">
        <f ca="1">IFERROR(__xludf.DUMMYFUNCTION("GOOGLETRANSLATE(J632,""ar"",""en"")"),"#VALUE!")</f>
        <v>#VALUE!</v>
      </c>
      <c r="N632" s="12" t="s">
        <v>2643</v>
      </c>
      <c r="O632" s="10" t="s">
        <v>2644</v>
      </c>
    </row>
    <row r="633" spans="1:15" ht="20.100000000000001" customHeight="1" thickTop="1" thickBot="1">
      <c r="A633" s="1"/>
      <c r="B633" s="22">
        <v>632</v>
      </c>
      <c r="C633" s="22" t="s">
        <v>2645</v>
      </c>
      <c r="D633" s="22" t="s">
        <v>13</v>
      </c>
      <c r="E633" s="22" t="s">
        <v>648</v>
      </c>
      <c r="F633" s="22" t="str">
        <f ca="1">IFERROR(__xludf.DUMMYFUNCTION("GOOGLETRANSLATE(E633,""ar"",""en"")"),"Najoum Al Khairat Company")</f>
        <v>Najoum Al Khairat Company</v>
      </c>
      <c r="G633" s="22" t="s">
        <v>2756</v>
      </c>
      <c r="H633" s="24" t="s">
        <v>3593</v>
      </c>
      <c r="I633" s="22" t="s">
        <v>3687</v>
      </c>
      <c r="J633" s="5" t="str">
        <f ca="1">IFERROR(__xludf.DUMMYFUNCTION("GOOGLETRANSLATE(G633,""ar"",""en"")"),"Masts")</f>
        <v>Masts</v>
      </c>
      <c r="K633" s="5">
        <v>507234213</v>
      </c>
      <c r="L633" s="5"/>
      <c r="M633" s="5" t="str">
        <f ca="1">IFERROR(__xludf.DUMMYFUNCTION("GOOGLETRANSLATE(J633,""ar"",""en"")"),"#VALUE!")</f>
        <v>#VALUE!</v>
      </c>
      <c r="N633" s="6" t="s">
        <v>2646</v>
      </c>
      <c r="O633" s="10" t="s">
        <v>2647</v>
      </c>
    </row>
    <row r="634" spans="1:15" ht="20.100000000000001" customHeight="1" thickTop="1" thickBot="1">
      <c r="A634" s="1"/>
      <c r="B634" s="22">
        <v>633</v>
      </c>
      <c r="C634" s="22" t="s">
        <v>2648</v>
      </c>
      <c r="D634" s="22" t="s">
        <v>13</v>
      </c>
      <c r="E634" s="23" t="s">
        <v>2649</v>
      </c>
      <c r="F634" s="22" t="str">
        <f ca="1">IFERROR(__xludf.DUMMYFUNCTION("GOOGLETRANSLATE(E634,""ar"",""en"")"),"Durar Al Sharqia Supplies")</f>
        <v>Durar Al Sharqia Supplies</v>
      </c>
      <c r="G634" s="22" t="s">
        <v>2756</v>
      </c>
      <c r="H634" s="24" t="s">
        <v>3593</v>
      </c>
      <c r="I634" s="22" t="s">
        <v>3687</v>
      </c>
      <c r="J634" s="5" t="str">
        <f ca="1">IFERROR(__xludf.DUMMYFUNCTION("GOOGLETRANSLATE(G634,""ar"",""en"")"),"Masts")</f>
        <v>Masts</v>
      </c>
      <c r="K634" s="11">
        <v>504199080</v>
      </c>
      <c r="L634" s="11" t="s">
        <v>626</v>
      </c>
      <c r="M634" s="5" t="str">
        <f ca="1">IFERROR(__xludf.DUMMYFUNCTION("GOOGLETRANSLATE(J634,""ar"",""en"")"),"Osama")</f>
        <v>Osama</v>
      </c>
      <c r="N634" s="12" t="s">
        <v>2650</v>
      </c>
      <c r="O634" s="10" t="s">
        <v>2651</v>
      </c>
    </row>
    <row r="635" spans="1:15" ht="20.100000000000001" customHeight="1" thickTop="1" thickBot="1">
      <c r="A635" s="1"/>
      <c r="B635" s="22">
        <v>634</v>
      </c>
      <c r="C635" s="22" t="s">
        <v>2652</v>
      </c>
      <c r="D635" s="22" t="s">
        <v>13</v>
      </c>
      <c r="E635" s="22" t="s">
        <v>2653</v>
      </c>
      <c r="F635" s="22" t="str">
        <f ca="1">IFERROR(__xludf.DUMMYFUNCTION("GOOGLETRANSLATE(E635,""ar"",""en"")"),"Al-Budoor Garden Central Markets")</f>
        <v>Al-Budoor Garden Central Markets</v>
      </c>
      <c r="G635" s="22" t="s">
        <v>2756</v>
      </c>
      <c r="H635" s="24" t="s">
        <v>3593</v>
      </c>
      <c r="I635" s="22" t="s">
        <v>3687</v>
      </c>
      <c r="J635" s="5" t="str">
        <f ca="1">IFERROR(__xludf.DUMMYFUNCTION("GOOGLETRANSLATE(G635,""ar"",""en"")"),"Masts")</f>
        <v>Masts</v>
      </c>
      <c r="K635" s="5">
        <v>506979837</v>
      </c>
      <c r="L635" s="5" t="s">
        <v>2654</v>
      </c>
      <c r="M635" s="5" t="str">
        <f ca="1">IFERROR(__xludf.DUMMYFUNCTION("GOOGLETRANSLATE(J635,""ar"",""en"")"),"Abu al-Hasan")</f>
        <v>Abu al-Hasan</v>
      </c>
      <c r="N635" s="6" t="s">
        <v>2655</v>
      </c>
      <c r="O635" s="10" t="s">
        <v>2656</v>
      </c>
    </row>
    <row r="636" spans="1:15" ht="20.100000000000001" customHeight="1" thickTop="1" thickBot="1">
      <c r="A636" s="1"/>
      <c r="B636" s="22">
        <v>635</v>
      </c>
      <c r="C636" s="22" t="s">
        <v>2657</v>
      </c>
      <c r="D636" s="22" t="s">
        <v>13</v>
      </c>
      <c r="E636" s="23" t="s">
        <v>2658</v>
      </c>
      <c r="F636" s="22" t="str">
        <f ca="1">IFERROR(__xludf.DUMMYFUNCTION("GOOGLETRANSLATE(E636,""ar"",""en"")"),"Yemis Supplies")</f>
        <v>Yemis Supplies</v>
      </c>
      <c r="G636" s="22" t="s">
        <v>2756</v>
      </c>
      <c r="H636" s="24" t="s">
        <v>3593</v>
      </c>
      <c r="I636" s="22" t="s">
        <v>3687</v>
      </c>
      <c r="J636" s="5" t="str">
        <f ca="1">IFERROR(__xludf.DUMMYFUNCTION("GOOGLETRANSLATE(G636,""ar"",""en"")"),"Masts")</f>
        <v>Masts</v>
      </c>
      <c r="K636" s="11">
        <v>571504936</v>
      </c>
      <c r="L636" s="11" t="s">
        <v>2659</v>
      </c>
      <c r="M636" s="5" t="str">
        <f ca="1">IFERROR(__xludf.DUMMYFUNCTION("GOOGLETRANSLATE(J636,""ar"",""en"")"),"Abu Alaa")</f>
        <v>Abu Alaa</v>
      </c>
      <c r="N636" s="12" t="s">
        <v>2660</v>
      </c>
      <c r="O636" s="10" t="s">
        <v>2661</v>
      </c>
    </row>
    <row r="637" spans="1:15" ht="20.100000000000001" customHeight="1" thickTop="1" thickBot="1">
      <c r="A637" s="1"/>
      <c r="B637" s="22">
        <v>636</v>
      </c>
      <c r="C637" s="22" t="s">
        <v>2662</v>
      </c>
      <c r="D637" s="22" t="s">
        <v>13</v>
      </c>
      <c r="E637" s="22" t="s">
        <v>2663</v>
      </c>
      <c r="F637" s="22" t="str">
        <f ca="1">IFERROR(__xludf.DUMMYFUNCTION("GOOGLETRANSLATE(E637,""ar"",""en"")"),"Al-Sayari Markets Company")</f>
        <v>Al-Sayari Markets Company</v>
      </c>
      <c r="G637" s="22" t="s">
        <v>2756</v>
      </c>
      <c r="H637" s="24" t="s">
        <v>3593</v>
      </c>
      <c r="I637" s="22" t="s">
        <v>3636</v>
      </c>
      <c r="J637" s="5" t="str">
        <f ca="1">IFERROR(__xludf.DUMMYFUNCTION("GOOGLETRANSLATE(G637,""ar"",""en"")"),"Lake")</f>
        <v>Lake</v>
      </c>
      <c r="K637" s="5">
        <v>551138452</v>
      </c>
      <c r="L637" s="16"/>
      <c r="M637" s="5" t="str">
        <f ca="1">IFERROR(__xludf.DUMMYFUNCTION("GOOGLETRANSLATE(J637,""ar"",""en"")"),"#VALUE!")</f>
        <v>#VALUE!</v>
      </c>
      <c r="N637" s="6" t="s">
        <v>2664</v>
      </c>
      <c r="O637" s="10" t="s">
        <v>2665</v>
      </c>
    </row>
    <row r="638" spans="1:15" ht="20.100000000000001" customHeight="1" thickTop="1" thickBot="1">
      <c r="A638" s="1"/>
      <c r="B638" s="22">
        <v>637</v>
      </c>
      <c r="C638" s="22" t="s">
        <v>2666</v>
      </c>
      <c r="D638" s="22" t="s">
        <v>13</v>
      </c>
      <c r="E638" s="23" t="s">
        <v>2667</v>
      </c>
      <c r="F638" s="22" t="str">
        <f ca="1">IFERROR(__xludf.DUMMYFUNCTION("GOOGLETRANSLATE(E638,""ar"",""en"")"),"Delicious Lake Supplies")</f>
        <v>Delicious Lake Supplies</v>
      </c>
      <c r="G638" s="22" t="s">
        <v>2756</v>
      </c>
      <c r="H638" s="24" t="s">
        <v>3593</v>
      </c>
      <c r="I638" s="23" t="s">
        <v>3636</v>
      </c>
      <c r="J638" s="5" t="str">
        <f ca="1">IFERROR(__xludf.DUMMYFUNCTION("GOOGLETRANSLATE(G638,""ar"",""en"")"),"Al-Bahra")</f>
        <v>Al-Bahra</v>
      </c>
      <c r="K638" s="11">
        <v>565289814</v>
      </c>
      <c r="L638" s="11"/>
      <c r="M638" s="5" t="str">
        <f ca="1">IFERROR(__xludf.DUMMYFUNCTION("GOOGLETRANSLATE(J638,""ar"",""en"")"),"#VALUE!")</f>
        <v>#VALUE!</v>
      </c>
      <c r="N638" s="12" t="s">
        <v>2668</v>
      </c>
      <c r="O638" s="10" t="s">
        <v>2669</v>
      </c>
    </row>
    <row r="639" spans="1:15" ht="20.100000000000001" customHeight="1" thickTop="1" thickBot="1">
      <c r="A639" s="1"/>
      <c r="B639" s="22">
        <v>638</v>
      </c>
      <c r="C639" s="22" t="s">
        <v>2670</v>
      </c>
      <c r="D639" s="22" t="s">
        <v>13</v>
      </c>
      <c r="E639" s="22" t="s">
        <v>2671</v>
      </c>
      <c r="F639" s="22" t="str">
        <f ca="1">IFERROR(__xludf.DUMMYFUNCTION("GOOGLETRANSLATE(E639,""ar"",""en"")"),"Al-Aziziyah Beach Markets and Bakeries")</f>
        <v>Al-Aziziyah Beach Markets and Bakeries</v>
      </c>
      <c r="G639" s="22" t="s">
        <v>2756</v>
      </c>
      <c r="H639" s="24" t="s">
        <v>3593</v>
      </c>
      <c r="I639" s="22" t="s">
        <v>3636</v>
      </c>
      <c r="J639" s="5" t="str">
        <f ca="1">IFERROR(__xludf.DUMMYFUNCTION("GOOGLETRANSLATE(G639,""ar"",""en"")"),"Lake")</f>
        <v>Lake</v>
      </c>
      <c r="K639" s="5">
        <v>502680718</v>
      </c>
      <c r="L639" s="5"/>
      <c r="M639" s="5" t="str">
        <f ca="1">IFERROR(__xludf.DUMMYFUNCTION("GOOGLETRANSLATE(J639,""ar"",""en"")"),"#VALUE!")</f>
        <v>#VALUE!</v>
      </c>
      <c r="N639" s="6" t="s">
        <v>2672</v>
      </c>
      <c r="O639" s="10" t="s">
        <v>2673</v>
      </c>
    </row>
    <row r="640" spans="1:15" ht="20.100000000000001" customHeight="1" thickTop="1" thickBot="1">
      <c r="A640" s="1"/>
      <c r="B640" s="22">
        <v>639</v>
      </c>
      <c r="C640" s="22" t="s">
        <v>2674</v>
      </c>
      <c r="D640" s="22" t="s">
        <v>13</v>
      </c>
      <c r="E640" s="23" t="s">
        <v>2675</v>
      </c>
      <c r="F640" s="22" t="str">
        <f ca="1">IFERROR(__xludf.DUMMYFUNCTION("GOOGLETRANSLATE(E640,""ar"",""en"")"),"Muslim Al-Sayari Company Markets and Bakeries")</f>
        <v>Muslim Al-Sayari Company Markets and Bakeries</v>
      </c>
      <c r="G640" s="22" t="s">
        <v>2756</v>
      </c>
      <c r="H640" s="24" t="s">
        <v>3593</v>
      </c>
      <c r="I640" s="22" t="s">
        <v>3636</v>
      </c>
      <c r="J640" s="5" t="str">
        <f ca="1">IFERROR(__xludf.DUMMYFUNCTION("GOOGLETRANSLATE(G640,""ar"",""en"")"),"#VALUE!")</f>
        <v>#VALUE!</v>
      </c>
      <c r="K640" s="11">
        <v>504254639</v>
      </c>
      <c r="L640" s="11" t="s">
        <v>175</v>
      </c>
      <c r="M640" s="5" t="str">
        <f ca="1">IFERROR(__xludf.DUMMYFUNCTION("GOOGLETRANSLATE(J640,""ar"",""en"")"),"Abdullah")</f>
        <v>Abdullah</v>
      </c>
      <c r="N640" s="12" t="s">
        <v>2676</v>
      </c>
      <c r="O640" s="10" t="s">
        <v>2677</v>
      </c>
    </row>
    <row r="641" spans="1:15" ht="20.100000000000001" customHeight="1" thickTop="1" thickBot="1">
      <c r="A641" s="1"/>
      <c r="B641" s="22">
        <v>640</v>
      </c>
      <c r="C641" s="22" t="s">
        <v>2678</v>
      </c>
      <c r="D641" s="22" t="s">
        <v>13</v>
      </c>
      <c r="E641" s="22" t="s">
        <v>2679</v>
      </c>
      <c r="F641" s="22" t="str">
        <f ca="1">IFERROR(__xludf.DUMMYFUNCTION("GOOGLETRANSLATE(E641,""ar"",""en"")"),"Palm Doha Markets and Bakeries")</f>
        <v>Palm Doha Markets and Bakeries</v>
      </c>
      <c r="G641" s="22" t="s">
        <v>2756</v>
      </c>
      <c r="H641" s="24" t="s">
        <v>3593</v>
      </c>
      <c r="I641" s="22" t="s">
        <v>3636</v>
      </c>
      <c r="J641" s="5" t="str">
        <f ca="1">IFERROR(__xludf.DUMMYFUNCTION("GOOGLETRANSLATE(G641,""ar"",""en"")"),"Lake")</f>
        <v>Lake</v>
      </c>
      <c r="K641" s="5">
        <v>500848268</v>
      </c>
      <c r="L641" s="5" t="s">
        <v>919</v>
      </c>
      <c r="M641" s="5" t="str">
        <f ca="1">IFERROR(__xludf.DUMMYFUNCTION("GOOGLETRANSLATE(J641,""ar"",""en"")"),"righteous")</f>
        <v>righteous</v>
      </c>
      <c r="N641" s="6" t="s">
        <v>2680</v>
      </c>
      <c r="O641" s="10" t="s">
        <v>2681</v>
      </c>
    </row>
    <row r="642" spans="1:15" ht="20.100000000000001" customHeight="1" thickTop="1" thickBot="1">
      <c r="A642" s="1"/>
      <c r="B642" s="22">
        <v>641</v>
      </c>
      <c r="C642" s="22" t="s">
        <v>2682</v>
      </c>
      <c r="D642" s="22" t="s">
        <v>13</v>
      </c>
      <c r="E642" s="23" t="s">
        <v>2683</v>
      </c>
      <c r="F642" s="22" t="str">
        <f ca="1">IFERROR(__xludf.DUMMYFUNCTION("GOOGLETRANSLATE(E642,""ar"",""en"")"),"Golden Spring Supplies")</f>
        <v>Golden Spring Supplies</v>
      </c>
      <c r="G642" s="22" t="s">
        <v>2756</v>
      </c>
      <c r="H642" s="24" t="s">
        <v>3593</v>
      </c>
      <c r="I642" s="23" t="s">
        <v>3620</v>
      </c>
      <c r="J642" s="5" t="str">
        <f ca="1">IFERROR(__xludf.DUMMYFUNCTION("GOOGLETRANSLATE(G642,""ar"",""en"")"),"The bundle")</f>
        <v>The bundle</v>
      </c>
      <c r="K642" s="11">
        <v>509216612</v>
      </c>
      <c r="L642" s="11" t="s">
        <v>2684</v>
      </c>
      <c r="M642" s="5" t="str">
        <f ca="1">IFERROR(__xludf.DUMMYFUNCTION("GOOGLETRANSLATE(J642,""ar"",""en"")"),"Mohammed Al-Kholani")</f>
        <v>Mohammed Al-Kholani</v>
      </c>
      <c r="N642" s="12" t="s">
        <v>2685</v>
      </c>
      <c r="O642" s="10" t="s">
        <v>2686</v>
      </c>
    </row>
    <row r="643" spans="1:15" ht="20.100000000000001" customHeight="1" thickTop="1" thickBot="1">
      <c r="A643" s="1"/>
      <c r="B643" s="22">
        <v>642</v>
      </c>
      <c r="C643" s="22" t="s">
        <v>2687</v>
      </c>
      <c r="D643" s="22" t="s">
        <v>13</v>
      </c>
      <c r="E643" s="22" t="s">
        <v>2688</v>
      </c>
      <c r="F643" s="22" t="str">
        <f ca="1">IFERROR(__xludf.DUMMYFUNCTION("GOOGLETRANSLATE(E643,""ar"",""en"")"),"Halima Hassan Khatim Grocery")</f>
        <v>Halima Hassan Khatim Grocery</v>
      </c>
      <c r="G643" s="22" t="s">
        <v>2756</v>
      </c>
      <c r="H643" s="24" t="s">
        <v>3593</v>
      </c>
      <c r="I643" s="22" t="s">
        <v>3643</v>
      </c>
      <c r="J643" s="5" t="str">
        <f ca="1">IFERROR(__xludf.DUMMYFUNCTION("GOOGLETRANSLATE(G643,""ar"",""en"")"),"lavender")</f>
        <v>lavender</v>
      </c>
      <c r="K643" s="5">
        <v>506141540</v>
      </c>
      <c r="L643" s="5"/>
      <c r="M643" s="5" t="str">
        <f ca="1">IFERROR(__xludf.DUMMYFUNCTION("GOOGLETRANSLATE(J643,""ar"",""en"")"),"#VALUE!")</f>
        <v>#VALUE!</v>
      </c>
      <c r="N643" s="6" t="s">
        <v>2689</v>
      </c>
      <c r="O643" s="10" t="s">
        <v>2690</v>
      </c>
    </row>
    <row r="644" spans="1:15" ht="20.100000000000001" customHeight="1" thickTop="1" thickBot="1">
      <c r="A644" s="1"/>
      <c r="B644" s="22">
        <v>643</v>
      </c>
      <c r="C644" s="22" t="s">
        <v>2691</v>
      </c>
      <c r="D644" s="22" t="s">
        <v>13</v>
      </c>
      <c r="E644" s="23" t="s">
        <v>2692</v>
      </c>
      <c r="F644" s="22" t="str">
        <f ca="1">IFERROR(__xludf.DUMMYFUNCTION("GOOGLETRANSLATE(E644,""ar"",""en"")"),"Al Jazeera Supermarkets")</f>
        <v>Al Jazeera Supermarkets</v>
      </c>
      <c r="G644" s="22" t="s">
        <v>2756</v>
      </c>
      <c r="H644" s="24" t="s">
        <v>3593</v>
      </c>
      <c r="I644" s="22" t="s">
        <v>3643</v>
      </c>
      <c r="J644" s="5" t="str">
        <f ca="1">IFERROR(__xludf.DUMMYFUNCTION("GOOGLETRANSLATE(G644,""ar"",""en"")"),"lavender")</f>
        <v>lavender</v>
      </c>
      <c r="K644" s="11">
        <v>551851341</v>
      </c>
      <c r="L644" s="11" t="s">
        <v>2693</v>
      </c>
      <c r="M644" s="5" t="str">
        <f ca="1">IFERROR(__xludf.DUMMYFUNCTION("GOOGLETRANSLATE(J644,""ar"",""en"")"),"Ali Al-Dhamari")</f>
        <v>Ali Al-Dhamari</v>
      </c>
      <c r="N644" s="12" t="s">
        <v>2694</v>
      </c>
      <c r="O644" s="10" t="s">
        <v>2695</v>
      </c>
    </row>
    <row r="645" spans="1:15" ht="20.100000000000001" customHeight="1" thickTop="1" thickBot="1">
      <c r="A645" s="1"/>
      <c r="B645" s="22">
        <v>644</v>
      </c>
      <c r="C645" s="22" t="s">
        <v>2696</v>
      </c>
      <c r="D645" s="22" t="s">
        <v>13</v>
      </c>
      <c r="E645" s="22" t="s">
        <v>2697</v>
      </c>
      <c r="F645" s="22" t="str">
        <f ca="1">IFERROR(__xludf.DUMMYFUNCTION("GOOGLETRANSLATE(E645,""ar"",""en"")"),"Lavender Travel Supplies")</f>
        <v>Lavender Travel Supplies</v>
      </c>
      <c r="G645" s="22" t="s">
        <v>2756</v>
      </c>
      <c r="H645" s="24" t="s">
        <v>3593</v>
      </c>
      <c r="I645" s="22" t="s">
        <v>3643</v>
      </c>
      <c r="J645" s="5" t="str">
        <f ca="1">IFERROR(__xludf.DUMMYFUNCTION("GOOGLETRANSLATE(G645,""ar"",""en"")"),"lavender")</f>
        <v>lavender</v>
      </c>
      <c r="K645" s="5">
        <v>549620900</v>
      </c>
      <c r="L645" s="5" t="s">
        <v>899</v>
      </c>
      <c r="M645" s="5" t="str">
        <f ca="1">IFERROR(__xludf.DUMMYFUNCTION("GOOGLETRANSLATE(J645,""ar"",""en"")"),"Abu Sultan")</f>
        <v>Abu Sultan</v>
      </c>
      <c r="N645" s="6" t="s">
        <v>2698</v>
      </c>
      <c r="O645" s="10" t="s">
        <v>2699</v>
      </c>
    </row>
    <row r="646" spans="1:15" ht="20.100000000000001" customHeight="1" thickTop="1" thickBot="1">
      <c r="A646" s="1"/>
      <c r="B646" s="22">
        <v>645</v>
      </c>
      <c r="C646" s="22" t="s">
        <v>2700</v>
      </c>
      <c r="D646" s="22" t="s">
        <v>13</v>
      </c>
      <c r="E646" s="23" t="s">
        <v>648</v>
      </c>
      <c r="F646" s="22" t="str">
        <f ca="1">IFERROR(__xludf.DUMMYFUNCTION("GOOGLETRANSLATE(E646,""ar"",""en"")"),"Najoum Al Khairat Company")</f>
        <v>Najoum Al Khairat Company</v>
      </c>
      <c r="G646" s="22" t="s">
        <v>2756</v>
      </c>
      <c r="H646" s="24" t="s">
        <v>3593</v>
      </c>
      <c r="I646" s="22" t="s">
        <v>3643</v>
      </c>
      <c r="J646" s="5" t="str">
        <f ca="1">IFERROR(__xludf.DUMMYFUNCTION("GOOGLETRANSLATE(G646,""ar"",""en"")"),"lavender")</f>
        <v>lavender</v>
      </c>
      <c r="K646" s="11">
        <v>537762101</v>
      </c>
      <c r="L646" s="11" t="s">
        <v>2701</v>
      </c>
      <c r="M646" s="5" t="str">
        <f ca="1">IFERROR(__xludf.DUMMYFUNCTION("GOOGLETRANSLATE(J646,""ar"",""en"")"),"Abu Hussein")</f>
        <v>Abu Hussein</v>
      </c>
      <c r="N646" s="12" t="s">
        <v>2702</v>
      </c>
      <c r="O646" s="10" t="s">
        <v>2703</v>
      </c>
    </row>
    <row r="647" spans="1:15" ht="20.100000000000001" customHeight="1" thickTop="1" thickBot="1">
      <c r="A647" s="1"/>
      <c r="B647" s="22">
        <v>646</v>
      </c>
      <c r="C647" s="22" t="s">
        <v>2704</v>
      </c>
      <c r="D647" s="22" t="s">
        <v>13</v>
      </c>
      <c r="E647" s="22" t="s">
        <v>2705</v>
      </c>
      <c r="F647" s="22" t="str">
        <f ca="1">IFERROR(__xludf.DUMMYFUNCTION("GOOGLETRANSLATE(E647,""ar"",""en"")"),"Mohammed Salman Abu Saif Foundation")</f>
        <v>Mohammed Salman Abu Saif Foundation</v>
      </c>
      <c r="G647" s="22" t="s">
        <v>2756</v>
      </c>
      <c r="H647" s="24" t="s">
        <v>3593</v>
      </c>
      <c r="I647" s="22" t="s">
        <v>3643</v>
      </c>
      <c r="J647" s="5" t="str">
        <f ca="1">IFERROR(__xludf.DUMMYFUNCTION("GOOGLETRANSLATE(G647,""ar"",""en"")"),"lavender")</f>
        <v>lavender</v>
      </c>
      <c r="K647" s="5"/>
      <c r="L647" s="5"/>
      <c r="M647" s="5" t="str">
        <f ca="1">IFERROR(__xludf.DUMMYFUNCTION("GOOGLETRANSLATE(J647,""ar"",""en"")"),"#VALUE!")</f>
        <v>#VALUE!</v>
      </c>
      <c r="N647" s="6" t="s">
        <v>2706</v>
      </c>
      <c r="O647" s="10" t="s">
        <v>2707</v>
      </c>
    </row>
    <row r="648" spans="1:15" ht="20.100000000000001" customHeight="1" thickTop="1" thickBot="1">
      <c r="A648" s="1"/>
      <c r="B648" s="22">
        <v>647</v>
      </c>
      <c r="C648" s="22" t="s">
        <v>2708</v>
      </c>
      <c r="D648" s="22" t="s">
        <v>13</v>
      </c>
      <c r="E648" s="23" t="s">
        <v>1360</v>
      </c>
      <c r="F648" s="22" t="str">
        <f ca="1">IFERROR(__xludf.DUMMYFUNCTION("GOOGLETRANSLATE(E648,""ar"",""en"")"),"Fatima's Supplies")</f>
        <v>Fatima's Supplies</v>
      </c>
      <c r="G648" s="22" t="s">
        <v>2756</v>
      </c>
      <c r="H648" s="24" t="s">
        <v>3593</v>
      </c>
      <c r="I648" s="22" t="s">
        <v>3643</v>
      </c>
      <c r="J648" s="5" t="str">
        <f ca="1">IFERROR(__xludf.DUMMYFUNCTION("GOOGLETRANSLATE(G648,""ar"",""en"")"),"lavender")</f>
        <v>lavender</v>
      </c>
      <c r="K648" s="11">
        <v>565074939</v>
      </c>
      <c r="L648" s="11"/>
      <c r="M648" s="5" t="str">
        <f ca="1">IFERROR(__xludf.DUMMYFUNCTION("GOOGLETRANSLATE(J648,""ar"",""en"")"),"#VALUE!")</f>
        <v>#VALUE!</v>
      </c>
      <c r="N648" s="12" t="s">
        <v>2709</v>
      </c>
      <c r="O648" s="10" t="s">
        <v>2710</v>
      </c>
    </row>
    <row r="649" spans="1:15" ht="20.100000000000001" customHeight="1" thickTop="1" thickBot="1">
      <c r="A649" s="1"/>
      <c r="B649" s="22">
        <v>648</v>
      </c>
      <c r="C649" s="22" t="s">
        <v>2711</v>
      </c>
      <c r="D649" s="22" t="s">
        <v>13</v>
      </c>
      <c r="E649" s="22" t="s">
        <v>2712</v>
      </c>
      <c r="F649" s="22" t="str">
        <f ca="1">IFERROR(__xludf.DUMMYFUNCTION("GOOGLETRANSLATE(E649,""ar"",""en"")"),"Sanabel Rizq Supplies")</f>
        <v>Sanabel Rizq Supplies</v>
      </c>
      <c r="G649" s="22" t="s">
        <v>2756</v>
      </c>
      <c r="H649" s="24" t="s">
        <v>3593</v>
      </c>
      <c r="I649" s="22" t="s">
        <v>3643</v>
      </c>
      <c r="J649" s="5" t="str">
        <f ca="1">IFERROR(__xludf.DUMMYFUNCTION("GOOGLETRANSLATE(G649,""ar"",""en"")"),"lavender")</f>
        <v>lavender</v>
      </c>
      <c r="K649" s="5">
        <v>565086828</v>
      </c>
      <c r="L649" s="5"/>
      <c r="M649" s="5" t="str">
        <f ca="1">IFERROR(__xludf.DUMMYFUNCTION("GOOGLETRANSLATE(J649,""ar"",""en"")"),"#VALUE!")</f>
        <v>#VALUE!</v>
      </c>
      <c r="N649" s="6" t="s">
        <v>2713</v>
      </c>
      <c r="O649" s="10" t="s">
        <v>2714</v>
      </c>
    </row>
    <row r="650" spans="1:15" ht="20.100000000000001" customHeight="1" thickTop="1" thickBot="1">
      <c r="A650" s="1"/>
      <c r="B650" s="22">
        <v>649</v>
      </c>
      <c r="C650" s="22" t="s">
        <v>2715</v>
      </c>
      <c r="D650" s="22" t="s">
        <v>13</v>
      </c>
      <c r="E650" s="23" t="s">
        <v>2716</v>
      </c>
      <c r="F650" s="22" t="str">
        <f ca="1">IFERROR(__xludf.DUMMYFUNCTION("GOOGLETRANSLATE(E650,""ar"",""en"")"),"Hazwa Grocery")</f>
        <v>Hazwa Grocery</v>
      </c>
      <c r="G650" s="22" t="s">
        <v>2756</v>
      </c>
      <c r="H650" s="24" t="s">
        <v>3593</v>
      </c>
      <c r="I650" s="22" t="s">
        <v>3643</v>
      </c>
      <c r="J650" s="5" t="str">
        <f ca="1">IFERROR(__xludf.DUMMYFUNCTION("GOOGLETRANSLATE(G650,""ar"",""en"")"),"lavender")</f>
        <v>lavender</v>
      </c>
      <c r="K650" s="11">
        <v>502880192</v>
      </c>
      <c r="L650" s="11"/>
      <c r="M650" s="5" t="str">
        <f ca="1">IFERROR(__xludf.DUMMYFUNCTION("GOOGLETRANSLATE(J650,""ar"",""en"")"),"#VALUE!")</f>
        <v>#VALUE!</v>
      </c>
      <c r="N650" s="12" t="s">
        <v>2717</v>
      </c>
      <c r="O650" s="10" t="s">
        <v>2718</v>
      </c>
    </row>
    <row r="651" spans="1:15" ht="20.100000000000001" customHeight="1" thickTop="1" thickBot="1">
      <c r="A651" s="1"/>
      <c r="B651" s="22">
        <v>650</v>
      </c>
      <c r="C651" s="22" t="s">
        <v>2719</v>
      </c>
      <c r="D651" s="22" t="s">
        <v>13</v>
      </c>
      <c r="E651" s="22" t="s">
        <v>2720</v>
      </c>
      <c r="F651" s="22" t="str">
        <f ca="1">IFERROR(__xludf.DUMMYFUNCTION("GOOGLETRANSLATE(E651,""ar"",""en"")"),"Ivan Market")</f>
        <v>Ivan Market</v>
      </c>
      <c r="G651" s="22" t="s">
        <v>2756</v>
      </c>
      <c r="H651" s="24" t="s">
        <v>3593</v>
      </c>
      <c r="I651" s="23" t="s">
        <v>3612</v>
      </c>
      <c r="J651" s="5" t="str">
        <f ca="1">IFERROR(__xludf.DUMMYFUNCTION("GOOGLETRANSLATE(G651,""ar"",""en"")"),"GCC Road")</f>
        <v>GCC Road</v>
      </c>
      <c r="K651" s="5">
        <v>553808441</v>
      </c>
      <c r="L651" s="5"/>
      <c r="M651" s="5" t="str">
        <f ca="1">IFERROR(__xludf.DUMMYFUNCTION("GOOGLETRANSLATE(J651,""ar"",""en"")"),"#VALUE!")</f>
        <v>#VALUE!</v>
      </c>
      <c r="N651" s="6" t="s">
        <v>2721</v>
      </c>
      <c r="O651" s="10" t="s">
        <v>2722</v>
      </c>
    </row>
    <row r="652" spans="1:15" ht="20.100000000000001" customHeight="1" thickTop="1" thickBot="1">
      <c r="A652" s="1"/>
      <c r="B652" s="22">
        <v>651</v>
      </c>
      <c r="C652" s="22" t="s">
        <v>2723</v>
      </c>
      <c r="D652" s="22" t="s">
        <v>13</v>
      </c>
      <c r="E652" s="23" t="s">
        <v>3673</v>
      </c>
      <c r="F652" s="22" t="str">
        <f ca="1">IFERROR(__xludf.DUMMYFUNCTION("GOOGLETRANSLATE(E652,""ar"",""en"")"),"#VALUE!")</f>
        <v>#VALUE!</v>
      </c>
      <c r="G652" s="22" t="s">
        <v>2756</v>
      </c>
      <c r="H652" s="24" t="s">
        <v>3593</v>
      </c>
      <c r="I652" s="23" t="s">
        <v>3612</v>
      </c>
      <c r="J652" s="5" t="str">
        <f ca="1">IFERROR(__xludf.DUMMYFUNCTION("GOOGLETRANSLATE(G652,""ar"",""en"")"),"#VALUE!")</f>
        <v>#VALUE!</v>
      </c>
      <c r="K652" s="11"/>
      <c r="L652" s="11"/>
      <c r="M652" s="5" t="str">
        <f ca="1">IFERROR(__xludf.DUMMYFUNCTION("GOOGLETRANSLATE(J652,""ar"",""en"")"),"#VALUE!")</f>
        <v>#VALUE!</v>
      </c>
      <c r="N652" s="12" t="s">
        <v>2724</v>
      </c>
      <c r="O652" s="10" t="s">
        <v>2725</v>
      </c>
    </row>
    <row r="653" spans="1:15" ht="20.100000000000001" customHeight="1" thickTop="1" thickBot="1">
      <c r="A653" s="1"/>
      <c r="B653" s="22">
        <v>652</v>
      </c>
      <c r="C653" s="22" t="s">
        <v>2726</v>
      </c>
      <c r="D653" s="22" t="s">
        <v>13</v>
      </c>
      <c r="E653" s="22" t="s">
        <v>2727</v>
      </c>
      <c r="F653" s="22" t="str">
        <f ca="1">IFERROR(__xludf.DUMMYFUNCTION("GOOGLETRANSLATE(E653,""ar"",""en"")"),"Hayat Hamad Hashil Grocery")</f>
        <v>Hayat Hamad Hashil Grocery</v>
      </c>
      <c r="G653" s="22" t="s">
        <v>2756</v>
      </c>
      <c r="H653" s="24" t="s">
        <v>3593</v>
      </c>
      <c r="I653" s="23" t="s">
        <v>3612</v>
      </c>
      <c r="J653" s="5" t="str">
        <f ca="1">IFERROR(__xludf.DUMMYFUNCTION("GOOGLETRANSLATE(G653,""ar"",""en"")"),"Al-Hamra")</f>
        <v>Al-Hamra</v>
      </c>
      <c r="K653" s="5">
        <v>501528794</v>
      </c>
      <c r="L653" s="5"/>
      <c r="M653" s="5" t="str">
        <f ca="1">IFERROR(__xludf.DUMMYFUNCTION("GOOGLETRANSLATE(J653,""ar"",""en"")"),"#VALUE!")</f>
        <v>#VALUE!</v>
      </c>
      <c r="N653" s="6" t="s">
        <v>2728</v>
      </c>
      <c r="O653" s="10" t="s">
        <v>2729</v>
      </c>
    </row>
    <row r="654" spans="1:15" ht="20.100000000000001" customHeight="1" thickTop="1" thickBot="1">
      <c r="A654" s="1"/>
      <c r="B654" s="22">
        <v>653</v>
      </c>
      <c r="C654" s="22" t="s">
        <v>2730</v>
      </c>
      <c r="D654" s="22" t="s">
        <v>13</v>
      </c>
      <c r="E654" s="23" t="s">
        <v>1927</v>
      </c>
      <c r="F654" s="22" t="str">
        <f ca="1">IFERROR(__xludf.DUMMYFUNCTION("GOOGLETRANSLATE(E654,""ar"",""en"")"),"Golden Diamond Supplies")</f>
        <v>Golden Diamond Supplies</v>
      </c>
      <c r="G654" s="22" t="s">
        <v>2756</v>
      </c>
      <c r="H654" s="24" t="s">
        <v>3593</v>
      </c>
      <c r="I654" s="23" t="s">
        <v>3612</v>
      </c>
      <c r="J654" s="5" t="str">
        <f ca="1">IFERROR(__xludf.DUMMYFUNCTION("GOOGLETRANSLATE(G654,""ar"",""en"")"),"Al-Hamra")</f>
        <v>Al-Hamra</v>
      </c>
      <c r="K654" s="11"/>
      <c r="L654" s="11"/>
      <c r="M654" s="5" t="str">
        <f ca="1">IFERROR(__xludf.DUMMYFUNCTION("GOOGLETRANSLATE(J654,""ar"",""en"")"),"#VALUE!")</f>
        <v>#VALUE!</v>
      </c>
      <c r="N654" s="12" t="s">
        <v>2731</v>
      </c>
      <c r="O654" s="10" t="s">
        <v>2732</v>
      </c>
    </row>
    <row r="655" spans="1:15" ht="20.100000000000001" customHeight="1" thickTop="1" thickBot="1">
      <c r="A655" s="1"/>
      <c r="B655" s="22">
        <v>654</v>
      </c>
      <c r="C655" s="22" t="s">
        <v>2733</v>
      </c>
      <c r="D655" s="22" t="s">
        <v>13</v>
      </c>
      <c r="E655" s="22" t="s">
        <v>2734</v>
      </c>
      <c r="F655" s="22" t="str">
        <f ca="1">IFERROR(__xludf.DUMMYFUNCTION("GOOGLETRANSLATE(E655,""ar"",""en"")"),"Dima Market Company")</f>
        <v>Dima Market Company</v>
      </c>
      <c r="G655" s="22" t="s">
        <v>2756</v>
      </c>
      <c r="H655" s="24" t="s">
        <v>3593</v>
      </c>
      <c r="I655" s="23" t="s">
        <v>3612</v>
      </c>
      <c r="J655" s="5" t="str">
        <f ca="1">IFERROR(__xludf.DUMMYFUNCTION("GOOGLETRANSLATE(G655,""ar"",""en"")"),"Al-Hamra")</f>
        <v>Al-Hamra</v>
      </c>
      <c r="K655" s="5"/>
      <c r="L655" s="5"/>
      <c r="M655" s="5" t="str">
        <f ca="1">IFERROR(__xludf.DUMMYFUNCTION("GOOGLETRANSLATE(J655,""ar"",""en"")"),"#VALUE!")</f>
        <v>#VALUE!</v>
      </c>
      <c r="N655" s="6" t="s">
        <v>2735</v>
      </c>
      <c r="O655" s="10" t="s">
        <v>2736</v>
      </c>
    </row>
    <row r="656" spans="1:15" ht="20.100000000000001" customHeight="1" thickTop="1" thickBot="1">
      <c r="A656" s="1"/>
      <c r="B656" s="22">
        <v>655</v>
      </c>
      <c r="C656" s="22" t="s">
        <v>2737</v>
      </c>
      <c r="D656" s="22" t="s">
        <v>13</v>
      </c>
      <c r="E656" s="23" t="s">
        <v>2738</v>
      </c>
      <c r="F656" s="22" t="str">
        <f ca="1">IFERROR(__xludf.DUMMYFUNCTION("GOOGLETRANSLATE(E656,""ar"",""en"")"),"entity")</f>
        <v>entity</v>
      </c>
      <c r="G656" s="22" t="s">
        <v>2756</v>
      </c>
      <c r="H656" s="24" t="s">
        <v>3593</v>
      </c>
      <c r="I656" s="23" t="s">
        <v>3612</v>
      </c>
      <c r="J656" s="5" t="str">
        <f ca="1">IFERROR(__xludf.DUMMYFUNCTION("GOOGLETRANSLATE(G656,""ar"",""en"")"),"Al-Hamra")</f>
        <v>Al-Hamra</v>
      </c>
      <c r="K656" s="11"/>
      <c r="L656" s="11"/>
      <c r="M656" s="5" t="str">
        <f ca="1">IFERROR(__xludf.DUMMYFUNCTION("GOOGLETRANSLATE(J656,""ar"",""en"")"),"#VALUE!")</f>
        <v>#VALUE!</v>
      </c>
      <c r="N656" s="12" t="s">
        <v>2739</v>
      </c>
      <c r="O656" s="10" t="s">
        <v>2740</v>
      </c>
    </row>
    <row r="657" spans="1:15" ht="20.100000000000001" customHeight="1" thickTop="1" thickBot="1">
      <c r="A657" s="1"/>
      <c r="B657" s="22">
        <v>656</v>
      </c>
      <c r="C657" s="22" t="s">
        <v>2741</v>
      </c>
      <c r="D657" s="22" t="s">
        <v>13</v>
      </c>
      <c r="E657" s="22" t="s">
        <v>577</v>
      </c>
      <c r="F657" s="22" t="str">
        <f ca="1">IFERROR(__xludf.DUMMYFUNCTION("GOOGLETRANSLATE(E657,""ar"",""en"")"),"Narges Company")</f>
        <v>Narges Company</v>
      </c>
      <c r="G657" s="22" t="s">
        <v>2756</v>
      </c>
      <c r="H657" s="24" t="s">
        <v>3593</v>
      </c>
      <c r="I657" s="23" t="s">
        <v>3612</v>
      </c>
      <c r="J657" s="5" t="str">
        <f ca="1">IFERROR(__xludf.DUMMYFUNCTION("GOOGLETRANSLATE(G657,""ar"",""en"")"),"Al-Hamra")</f>
        <v>Al-Hamra</v>
      </c>
      <c r="K657" s="5">
        <v>553533085</v>
      </c>
      <c r="L657" s="5"/>
      <c r="M657" s="5" t="str">
        <f ca="1">IFERROR(__xludf.DUMMYFUNCTION("GOOGLETRANSLATE(J657,""ar"",""en"")"),"#VALUE!")</f>
        <v>#VALUE!</v>
      </c>
      <c r="N657" s="6" t="s">
        <v>2742</v>
      </c>
      <c r="O657" s="10" t="s">
        <v>2743</v>
      </c>
    </row>
    <row r="658" spans="1:15" ht="20.100000000000001" customHeight="1" thickTop="1" thickBot="1">
      <c r="A658" s="1"/>
      <c r="B658" s="22">
        <v>657</v>
      </c>
      <c r="C658" s="22" t="s">
        <v>2744</v>
      </c>
      <c r="D658" s="22" t="s">
        <v>13</v>
      </c>
      <c r="E658" s="23" t="s">
        <v>2720</v>
      </c>
      <c r="F658" s="22" t="str">
        <f ca="1">IFERROR(__xludf.DUMMYFUNCTION("GOOGLETRANSLATE(E658,""ar"",""en"")"),"Ivan Market")</f>
        <v>Ivan Market</v>
      </c>
      <c r="G658" s="22" t="s">
        <v>2756</v>
      </c>
      <c r="H658" s="24" t="s">
        <v>3593</v>
      </c>
      <c r="I658" s="23" t="s">
        <v>3612</v>
      </c>
      <c r="J658" s="5" t="str">
        <f ca="1">IFERROR(__xludf.DUMMYFUNCTION("GOOGLETRANSLATE(G658,""ar"",""en"")"),"Al-Hamra")</f>
        <v>Al-Hamra</v>
      </c>
      <c r="K658" s="11">
        <v>543558850</v>
      </c>
      <c r="L658" s="11"/>
      <c r="M658" s="5" t="str">
        <f ca="1">IFERROR(__xludf.DUMMYFUNCTION("GOOGLETRANSLATE(J658,""ar"",""en"")"),"#VALUE!")</f>
        <v>#VALUE!</v>
      </c>
      <c r="N658" s="12" t="s">
        <v>2745</v>
      </c>
      <c r="O658" s="10" t="s">
        <v>2746</v>
      </c>
    </row>
    <row r="659" spans="1:15" ht="20.100000000000001" customHeight="1" thickTop="1" thickBot="1">
      <c r="A659" s="1"/>
      <c r="B659" s="22">
        <v>658</v>
      </c>
      <c r="C659" s="22" t="s">
        <v>2747</v>
      </c>
      <c r="D659" s="22" t="s">
        <v>13</v>
      </c>
      <c r="E659" s="22" t="s">
        <v>2748</v>
      </c>
      <c r="F659" s="22" t="str">
        <f ca="1">IFERROR(__xludf.DUMMYFUNCTION("GOOGLETRANSLATE(E659,""ar"",""en"")"),"Rima Market Markets and Bakeries")</f>
        <v>Rima Market Markets and Bakeries</v>
      </c>
      <c r="G659" s="22" t="s">
        <v>2756</v>
      </c>
      <c r="H659" s="24" t="s">
        <v>3593</v>
      </c>
      <c r="I659" s="23" t="s">
        <v>3612</v>
      </c>
      <c r="J659" s="5" t="str">
        <f ca="1">IFERROR(__xludf.DUMMYFUNCTION("GOOGLETRANSLATE(G659,""ar"",""en"")"),"Al-Hamra")</f>
        <v>Al-Hamra</v>
      </c>
      <c r="K659" s="5"/>
      <c r="L659" s="5"/>
      <c r="M659" s="5" t="str">
        <f ca="1">IFERROR(__xludf.DUMMYFUNCTION("GOOGLETRANSLATE(J659,""ar"",""en"")"),"#VALUE!")</f>
        <v>#VALUE!</v>
      </c>
      <c r="N659" s="6" t="s">
        <v>2749</v>
      </c>
      <c r="O659" s="10" t="s">
        <v>2750</v>
      </c>
    </row>
    <row r="660" spans="1:15" ht="20.100000000000001" customHeight="1" thickTop="1" thickBot="1">
      <c r="A660" s="1"/>
      <c r="B660" s="22">
        <v>659</v>
      </c>
      <c r="C660" s="22" t="s">
        <v>2751</v>
      </c>
      <c r="D660" s="22" t="s">
        <v>13</v>
      </c>
      <c r="E660" s="23" t="s">
        <v>577</v>
      </c>
      <c r="F660" s="22" t="str">
        <f ca="1">IFERROR(__xludf.DUMMYFUNCTION("GOOGLETRANSLATE(E660,""ar"",""en"")"),"Narges Company")</f>
        <v>Narges Company</v>
      </c>
      <c r="G660" s="22" t="s">
        <v>2756</v>
      </c>
      <c r="H660" s="24" t="s">
        <v>3593</v>
      </c>
      <c r="I660" s="23" t="s">
        <v>3633</v>
      </c>
      <c r="J660" s="5" t="str">
        <f ca="1">IFERROR(__xludf.DUMMYFUNCTION("GOOGLETRANSLATE(G660,""ar"",""en"")"),"Housing")</f>
        <v>Housing</v>
      </c>
      <c r="K660" s="11">
        <v>501042995</v>
      </c>
      <c r="L660" s="11"/>
      <c r="M660" s="5" t="str">
        <f ca="1">IFERROR(__xludf.DUMMYFUNCTION("GOOGLETRANSLATE(J660,""ar"",""en"")"),"#VALUE!")</f>
        <v>#VALUE!</v>
      </c>
      <c r="N660" s="12" t="s">
        <v>2752</v>
      </c>
      <c r="O660" s="10" t="s">
        <v>2753</v>
      </c>
    </row>
    <row r="661" spans="1:15" ht="20.100000000000001" customHeight="1" thickTop="1" thickBot="1">
      <c r="A661" s="1"/>
      <c r="B661" s="22">
        <v>660</v>
      </c>
      <c r="C661" s="22" t="s">
        <v>2754</v>
      </c>
      <c r="D661" s="22" t="s">
        <v>13</v>
      </c>
      <c r="E661" s="22" t="s">
        <v>2755</v>
      </c>
      <c r="F661" s="22" t="str">
        <f ca="1">IFERROR(__xludf.DUMMYFUNCTION("GOOGLETRANSLATE(E661,""ar"",""en"")"),"Thirty Baskets Supplies")</f>
        <v>Thirty Baskets Supplies</v>
      </c>
      <c r="G661" s="22" t="s">
        <v>2756</v>
      </c>
      <c r="H661" s="24" t="s">
        <v>3593</v>
      </c>
      <c r="I661" s="22" t="s">
        <v>3694</v>
      </c>
      <c r="J661" s="5" t="str">
        <f ca="1">IFERROR(__xludf.DUMMYFUNCTION("GOOGLETRANSLATE(G661,""ar"",""en"")"),"the news")</f>
        <v>the news</v>
      </c>
      <c r="K661" s="5">
        <v>502465377</v>
      </c>
      <c r="L661" s="5"/>
      <c r="M661" s="5" t="str">
        <f ca="1">IFERROR(__xludf.DUMMYFUNCTION("GOOGLETRANSLATE(J661,""ar"",""en"")"),"#VALUE!")</f>
        <v>#VALUE!</v>
      </c>
      <c r="N661" s="6" t="s">
        <v>2757</v>
      </c>
      <c r="O661" s="10" t="s">
        <v>2758</v>
      </c>
    </row>
    <row r="662" spans="1:15" ht="20.100000000000001" customHeight="1" thickTop="1" thickBot="1">
      <c r="A662" s="1"/>
      <c r="B662" s="22">
        <v>661</v>
      </c>
      <c r="C662" s="22" t="s">
        <v>2759</v>
      </c>
      <c r="D662" s="22" t="s">
        <v>13</v>
      </c>
      <c r="E662" s="23" t="s">
        <v>2760</v>
      </c>
      <c r="F662" s="22" t="str">
        <f ca="1">IFERROR(__xludf.DUMMYFUNCTION("GOOGLETRANSLATE(E662,""ar"",""en"")"),"Arabian cherry")</f>
        <v>Arabian cherry</v>
      </c>
      <c r="G662" s="22" t="s">
        <v>2756</v>
      </c>
      <c r="H662" s="24" t="s">
        <v>3593</v>
      </c>
      <c r="I662" s="22" t="s">
        <v>3694</v>
      </c>
      <c r="J662" s="5" t="str">
        <f ca="1">IFERROR(__xludf.DUMMYFUNCTION("GOOGLETRANSLATE(G662,""ar"",""en"")"),"South News")</f>
        <v>South News</v>
      </c>
      <c r="K662" s="11"/>
      <c r="L662" s="11"/>
      <c r="M662" s="5" t="str">
        <f ca="1">IFERROR(__xludf.DUMMYFUNCTION("GOOGLETRANSLATE(J662,""ar"",""en"")"),"#VALUE!")</f>
        <v>#VALUE!</v>
      </c>
      <c r="N662" s="12" t="s">
        <v>2761</v>
      </c>
      <c r="O662" s="10" t="s">
        <v>2762</v>
      </c>
    </row>
    <row r="663" spans="1:15" ht="20.100000000000001" customHeight="1" thickTop="1" thickBot="1">
      <c r="A663" s="1"/>
      <c r="B663" s="22">
        <v>662</v>
      </c>
      <c r="C663" s="22" t="s">
        <v>2763</v>
      </c>
      <c r="D663" s="22" t="s">
        <v>13</v>
      </c>
      <c r="E663" s="22" t="s">
        <v>2764</v>
      </c>
      <c r="F663" s="22" t="str">
        <f ca="1">IFERROR(__xludf.DUMMYFUNCTION("GOOGLETRANSLATE(E663,""ar"",""en"")"),"Durar Al-Thalathin Supplies")</f>
        <v>Durar Al-Thalathin Supplies</v>
      </c>
      <c r="G663" s="22" t="s">
        <v>2756</v>
      </c>
      <c r="H663" s="24" t="s">
        <v>3593</v>
      </c>
      <c r="I663" s="22" t="s">
        <v>3694</v>
      </c>
      <c r="J663" s="5" t="str">
        <f ca="1">IFERROR(__xludf.DUMMYFUNCTION("GOOGLETRANSLATE(G663,""ar"",""en"")"),"South Al-Khobar")</f>
        <v>South Al-Khobar</v>
      </c>
      <c r="K663" s="5">
        <v>508562012</v>
      </c>
      <c r="L663" s="5" t="s">
        <v>2765</v>
      </c>
      <c r="M663" s="5" t="str">
        <f ca="1">IFERROR(__xludf.DUMMYFUNCTION("GOOGLETRANSLATE(J663,""ar"",""en"")"),"Bassam")</f>
        <v>Bassam</v>
      </c>
      <c r="N663" s="6" t="s">
        <v>2766</v>
      </c>
      <c r="O663" s="10" t="s">
        <v>2767</v>
      </c>
    </row>
    <row r="664" spans="1:15" ht="20.100000000000001" customHeight="1" thickTop="1" thickBot="1">
      <c r="A664" s="1"/>
      <c r="B664" s="22">
        <v>663</v>
      </c>
      <c r="C664" s="22" t="s">
        <v>2768</v>
      </c>
      <c r="D664" s="22" t="s">
        <v>13</v>
      </c>
      <c r="E664" s="23" t="s">
        <v>2769</v>
      </c>
      <c r="F664" s="22" t="str">
        <f ca="1">IFERROR(__xludf.DUMMYFUNCTION("GOOGLETRANSLATE(E664,""ar"",""en"")"),"Two Apples Supermarkets")</f>
        <v>Two Apples Supermarkets</v>
      </c>
      <c r="G664" s="22" t="s">
        <v>2756</v>
      </c>
      <c r="H664" s="24" t="s">
        <v>3593</v>
      </c>
      <c r="I664" s="23" t="s">
        <v>3638</v>
      </c>
      <c r="J664" s="5" t="str">
        <f ca="1">IFERROR(__xludf.DUMMYFUNCTION("GOOGLETRANSLATE(G664,""ar"",""en"")"),"The hole")</f>
        <v>The hole</v>
      </c>
      <c r="K664" s="11">
        <v>551271588</v>
      </c>
      <c r="L664" s="11" t="s">
        <v>123</v>
      </c>
      <c r="M664" s="5" t="str">
        <f ca="1">IFERROR(__xludf.DUMMYFUNCTION("GOOGLETRANSLATE(J664,""ar"",""en"")"),"Awad")</f>
        <v>Awad</v>
      </c>
      <c r="N664" s="12" t="s">
        <v>2770</v>
      </c>
      <c r="O664" s="10" t="s">
        <v>2771</v>
      </c>
    </row>
    <row r="665" spans="1:15" ht="20.100000000000001" customHeight="1" thickTop="1" thickBot="1">
      <c r="A665" s="1"/>
      <c r="B665" s="22">
        <v>664</v>
      </c>
      <c r="C665" s="22" t="s">
        <v>2772</v>
      </c>
      <c r="D665" s="22" t="s">
        <v>13</v>
      </c>
      <c r="E665" s="22" t="s">
        <v>2773</v>
      </c>
      <c r="F665" s="22" t="str">
        <f ca="1">IFERROR(__xludf.DUMMYFUNCTION("GOOGLETRANSLATE(E665,""ar"",""en"")"),"Gulf Continents Grocery")</f>
        <v>Gulf Continents Grocery</v>
      </c>
      <c r="G665" s="22" t="s">
        <v>2756</v>
      </c>
      <c r="H665" s="24" t="s">
        <v>3593</v>
      </c>
      <c r="I665" s="23" t="s">
        <v>3638</v>
      </c>
      <c r="J665" s="5" t="str">
        <f ca="1">IFERROR(__xludf.DUMMYFUNCTION("GOOGLETRANSLATE(G665,""ar"",""en"")"),"The hole")</f>
        <v>The hole</v>
      </c>
      <c r="K665" s="5">
        <v>509337305</v>
      </c>
      <c r="L665" s="5" t="s">
        <v>2774</v>
      </c>
      <c r="M665" s="5" t="str">
        <f ca="1">IFERROR(__xludf.DUMMYFUNCTION("GOOGLETRANSLATE(J665,""ar"",""en"")"),"Muhyiddin")</f>
        <v>Muhyiddin</v>
      </c>
      <c r="N665" s="6" t="s">
        <v>2775</v>
      </c>
      <c r="O665" s="10" t="s">
        <v>2776</v>
      </c>
    </row>
    <row r="666" spans="1:15" ht="20.100000000000001" customHeight="1" thickTop="1" thickBot="1">
      <c r="A666" s="1"/>
      <c r="B666" s="22">
        <v>665</v>
      </c>
      <c r="C666" s="22" t="s">
        <v>2777</v>
      </c>
      <c r="D666" s="22" t="s">
        <v>13</v>
      </c>
      <c r="E666" s="23" t="s">
        <v>2778</v>
      </c>
      <c r="F666" s="22" t="str">
        <f ca="1">IFERROR(__xludf.DUMMYFUNCTION("GOOGLETRANSLATE(E666,""ar"",""en"")"),"Raoum")</f>
        <v>Raoum</v>
      </c>
      <c r="G666" s="22" t="s">
        <v>2756</v>
      </c>
      <c r="H666" s="24" t="s">
        <v>3593</v>
      </c>
      <c r="I666" s="23" t="s">
        <v>3638</v>
      </c>
      <c r="J666" s="5" t="str">
        <f ca="1">IFERROR(__xludf.DUMMYFUNCTION("GOOGLETRANSLATE(G666,""ar"",""en"")"),"The hole")</f>
        <v>The hole</v>
      </c>
      <c r="K666" s="11">
        <v>532058921</v>
      </c>
      <c r="L666" s="11"/>
      <c r="M666" s="5" t="str">
        <f ca="1">IFERROR(__xludf.DUMMYFUNCTION("GOOGLETRANSLATE(J666,""ar"",""en"")"),"#VALUE!")</f>
        <v>#VALUE!</v>
      </c>
      <c r="N666" s="12" t="s">
        <v>2779</v>
      </c>
      <c r="O666" s="10" t="s">
        <v>2780</v>
      </c>
    </row>
    <row r="667" spans="1:15" ht="20.100000000000001" customHeight="1" thickTop="1" thickBot="1">
      <c r="A667" s="1"/>
      <c r="B667" s="22">
        <v>666</v>
      </c>
      <c r="C667" s="22" t="s">
        <v>2781</v>
      </c>
      <c r="D667" s="22" t="s">
        <v>13</v>
      </c>
      <c r="E667" s="22" t="s">
        <v>2782</v>
      </c>
      <c r="F667" s="22" t="str">
        <f ca="1">IFERROR(__xludf.DUMMYFUNCTION("GOOGLETRANSLATE(E667,""ar"",""en"")"),"Mada Supplies")</f>
        <v>Mada Supplies</v>
      </c>
      <c r="G667" s="22" t="s">
        <v>2756</v>
      </c>
      <c r="H667" s="24" t="s">
        <v>3593</v>
      </c>
      <c r="I667" s="23" t="s">
        <v>3638</v>
      </c>
      <c r="J667" s="5" t="str">
        <f ca="1">IFERROR(__xludf.DUMMYFUNCTION("GOOGLETRANSLATE(G667,""ar"",""en"")"),"The hole")</f>
        <v>The hole</v>
      </c>
      <c r="K667" s="5">
        <v>569589519</v>
      </c>
      <c r="L667" s="5"/>
      <c r="M667" s="5" t="str">
        <f ca="1">IFERROR(__xludf.DUMMYFUNCTION("GOOGLETRANSLATE(J667,""ar"",""en"")"),"#VALUE!")</f>
        <v>#VALUE!</v>
      </c>
      <c r="N667" s="6" t="s">
        <v>2783</v>
      </c>
      <c r="O667" s="10" t="s">
        <v>2784</v>
      </c>
    </row>
    <row r="668" spans="1:15" ht="20.100000000000001" customHeight="1" thickTop="1" thickBot="1">
      <c r="A668" s="1"/>
      <c r="B668" s="22">
        <v>667</v>
      </c>
      <c r="C668" s="22" t="s">
        <v>2785</v>
      </c>
      <c r="D668" s="22" t="s">
        <v>13</v>
      </c>
      <c r="E668" s="23" t="s">
        <v>2248</v>
      </c>
      <c r="F668" s="22" t="str">
        <f ca="1">IFERROR(__xludf.DUMMYFUNCTION("GOOGLETRANSLATE(E668,""ar"",""en"")"),"Qouz Markets")</f>
        <v>Qouz Markets</v>
      </c>
      <c r="G668" s="22" t="s">
        <v>2756</v>
      </c>
      <c r="H668" s="24" t="s">
        <v>3593</v>
      </c>
      <c r="I668" s="23" t="s">
        <v>3690</v>
      </c>
      <c r="J668" s="5" t="str">
        <f ca="1">IFERROR(__xludf.DUMMYFUNCTION("GOOGLETRANSLATE(G668,""ar"",""en"")"),"Upper")</f>
        <v>Upper</v>
      </c>
      <c r="K668" s="11">
        <v>501703324</v>
      </c>
      <c r="L668" s="11" t="s">
        <v>634</v>
      </c>
      <c r="M668" s="5" t="str">
        <f ca="1">IFERROR(__xludf.DUMMYFUNCTION("GOOGLETRANSLATE(J668,""ar"",""en"")"),"immortal")</f>
        <v>immortal</v>
      </c>
      <c r="N668" s="12" t="s">
        <v>2786</v>
      </c>
      <c r="O668" s="10" t="s">
        <v>2787</v>
      </c>
    </row>
    <row r="669" spans="1:15" ht="20.100000000000001" customHeight="1" thickTop="1" thickBot="1">
      <c r="A669" s="1"/>
      <c r="B669" s="22">
        <v>668</v>
      </c>
      <c r="C669" s="22" t="s">
        <v>2788</v>
      </c>
      <c r="D669" s="22" t="s">
        <v>13</v>
      </c>
      <c r="E669" s="22" t="s">
        <v>2789</v>
      </c>
      <c r="F669" s="22" t="str">
        <f ca="1">IFERROR(__xludf.DUMMYFUNCTION("GOOGLETRANSLATE(E669,""ar"",""en"")"),"Thari Al-Khair Supplies")</f>
        <v>Thari Al-Khair Supplies</v>
      </c>
      <c r="G669" s="22" t="s">
        <v>2756</v>
      </c>
      <c r="H669" s="24" t="s">
        <v>3593</v>
      </c>
      <c r="I669" s="23" t="s">
        <v>3690</v>
      </c>
      <c r="J669" s="5" t="str">
        <f ca="1">IFERROR(__xludf.DUMMYFUNCTION("GOOGLETRANSLATE(G669,""ar"",""en"")"),"Upper")</f>
        <v>Upper</v>
      </c>
      <c r="K669" s="5">
        <v>538408849</v>
      </c>
      <c r="L669" s="5" t="s">
        <v>361</v>
      </c>
      <c r="M669" s="5" t="str">
        <f ca="1">IFERROR(__xludf.DUMMYFUNCTION("GOOGLETRANSLATE(J669,""ar"",""en"")"),"Ahmed")</f>
        <v>Ahmed</v>
      </c>
      <c r="N669" s="6" t="s">
        <v>2790</v>
      </c>
      <c r="O669" s="10" t="s">
        <v>2791</v>
      </c>
    </row>
    <row r="670" spans="1:15" ht="20.100000000000001" customHeight="1" thickTop="1" thickBot="1">
      <c r="A670" s="1"/>
      <c r="B670" s="22">
        <v>669</v>
      </c>
      <c r="C670" s="22" t="s">
        <v>2792</v>
      </c>
      <c r="D670" s="22" t="s">
        <v>13</v>
      </c>
      <c r="E670" s="23" t="s">
        <v>2265</v>
      </c>
      <c r="F670" s="22" t="str">
        <f ca="1">IFERROR(__xludf.DUMMYFUNCTION("GOOGLETRANSLATE(E670,""ar"",""en"")"),"Hala Markets and Bakeries")</f>
        <v>Hala Markets and Bakeries</v>
      </c>
      <c r="G670" s="22" t="s">
        <v>2756</v>
      </c>
      <c r="H670" s="24" t="s">
        <v>3593</v>
      </c>
      <c r="I670" s="23" t="s">
        <v>3690</v>
      </c>
      <c r="J670" s="5" t="str">
        <f ca="1">IFERROR(__xludf.DUMMYFUNCTION("GOOGLETRANSLATE(G670,""ar"",""en"")"),"Upper")</f>
        <v>Upper</v>
      </c>
      <c r="K670" s="11"/>
      <c r="L670" s="11"/>
      <c r="M670" s="5" t="str">
        <f ca="1">IFERROR(__xludf.DUMMYFUNCTION("GOOGLETRANSLATE(J670,""ar"",""en"")"),"#VALUE!")</f>
        <v>#VALUE!</v>
      </c>
      <c r="N670" s="12" t="s">
        <v>2793</v>
      </c>
      <c r="O670" s="10" t="s">
        <v>2794</v>
      </c>
    </row>
    <row r="671" spans="1:15" ht="20.100000000000001" customHeight="1" thickTop="1" thickBot="1">
      <c r="A671" s="1"/>
      <c r="B671" s="22">
        <v>670</v>
      </c>
      <c r="C671" s="22" t="s">
        <v>2795</v>
      </c>
      <c r="D671" s="22" t="s">
        <v>13</v>
      </c>
      <c r="E671" s="22" t="s">
        <v>3689</v>
      </c>
      <c r="F671" s="22" t="str">
        <f ca="1">IFERROR(__xludf.DUMMYFUNCTION("GOOGLETRANSLATE(E671,""ar"",""en"")"),"#VALUE!")</f>
        <v>#VALUE!</v>
      </c>
      <c r="G671" s="22" t="s">
        <v>2756</v>
      </c>
      <c r="H671" s="24" t="s">
        <v>3593</v>
      </c>
      <c r="I671" s="23" t="s">
        <v>3690</v>
      </c>
      <c r="J671" s="5" t="str">
        <f ca="1">IFERROR(__xludf.DUMMYFUNCTION("GOOGLETRANSLATE(G671,""ar"",""en"")"),"#VALUE!")</f>
        <v>#VALUE!</v>
      </c>
      <c r="K671" s="5">
        <v>501668590</v>
      </c>
      <c r="L671" s="5"/>
      <c r="M671" s="5" t="str">
        <f ca="1">IFERROR(__xludf.DUMMYFUNCTION("GOOGLETRANSLATE(J671,""ar"",""en"")"),"#VALUE!")</f>
        <v>#VALUE!</v>
      </c>
      <c r="N671" s="6" t="s">
        <v>2796</v>
      </c>
      <c r="O671" s="10" t="s">
        <v>2797</v>
      </c>
    </row>
    <row r="672" spans="1:15" ht="20.100000000000001" customHeight="1" thickTop="1" thickBot="1">
      <c r="A672" s="1"/>
      <c r="B672" s="22">
        <v>671</v>
      </c>
      <c r="C672" s="22" t="s">
        <v>2798</v>
      </c>
      <c r="D672" s="22" t="s">
        <v>13</v>
      </c>
      <c r="E672" s="23" t="s">
        <v>2799</v>
      </c>
      <c r="F672" s="22" t="str">
        <f ca="1">IFERROR(__xludf.DUMMYFUNCTION("GOOGLETRANSLATE(E672,""ar"",""en"")"),"Oasis Market")</f>
        <v>Oasis Market</v>
      </c>
      <c r="G672" s="22" t="s">
        <v>2756</v>
      </c>
      <c r="H672" s="24" t="s">
        <v>3593</v>
      </c>
      <c r="I672" s="23" t="s">
        <v>3690</v>
      </c>
      <c r="J672" s="5" t="str">
        <f ca="1">IFERROR(__xludf.DUMMYFUNCTION("GOOGLETRANSLATE(G672,""ar"",""en"")"),"Upper")</f>
        <v>Upper</v>
      </c>
      <c r="K672" s="11"/>
      <c r="L672" s="11"/>
      <c r="M672" s="5" t="str">
        <f ca="1">IFERROR(__xludf.DUMMYFUNCTION("GOOGLETRANSLATE(J672,""ar"",""en"")"),"#VALUE!")</f>
        <v>#VALUE!</v>
      </c>
      <c r="N672" s="12" t="s">
        <v>2800</v>
      </c>
      <c r="O672" s="10" t="s">
        <v>2801</v>
      </c>
    </row>
    <row r="673" spans="1:15" ht="20.100000000000001" customHeight="1" thickTop="1" thickBot="1">
      <c r="A673" s="1"/>
      <c r="B673" s="22">
        <v>672</v>
      </c>
      <c r="C673" s="22" t="s">
        <v>2802</v>
      </c>
      <c r="D673" s="22" t="s">
        <v>13</v>
      </c>
      <c r="E673" s="22" t="s">
        <v>2799</v>
      </c>
      <c r="F673" s="22" t="str">
        <f ca="1">IFERROR(__xludf.DUMMYFUNCTION("GOOGLETRANSLATE(E673,""ar"",""en"")"),"#VALUE!")</f>
        <v>#VALUE!</v>
      </c>
      <c r="G673" s="22" t="s">
        <v>2756</v>
      </c>
      <c r="H673" s="24" t="s">
        <v>3593</v>
      </c>
      <c r="I673" s="23" t="s">
        <v>3690</v>
      </c>
      <c r="J673" s="5" t="str">
        <f ca="1">IFERROR(__xludf.DUMMYFUNCTION("GOOGLETRANSLATE(G673,""ar"",""en"")"),"#VALUE!")</f>
        <v>#VALUE!</v>
      </c>
      <c r="K673" s="5"/>
      <c r="L673" s="5"/>
      <c r="M673" s="5" t="str">
        <f ca="1">IFERROR(__xludf.DUMMYFUNCTION("GOOGLETRANSLATE(J673,""ar"",""en"")"),"#VALUE!")</f>
        <v>#VALUE!</v>
      </c>
      <c r="N673" s="6" t="s">
        <v>2803</v>
      </c>
      <c r="O673" s="10" t="s">
        <v>2804</v>
      </c>
    </row>
    <row r="674" spans="1:15" ht="20.100000000000001" customHeight="1" thickTop="1" thickBot="1">
      <c r="A674" s="1"/>
      <c r="B674" s="22">
        <v>673</v>
      </c>
      <c r="C674" s="22" t="s">
        <v>2805</v>
      </c>
      <c r="D674" s="22" t="s">
        <v>13</v>
      </c>
      <c r="E674" s="23" t="s">
        <v>2806</v>
      </c>
      <c r="F674" s="22" t="str">
        <f ca="1">IFERROR(__xludf.DUMMYFUNCTION("GOOGLETRANSLATE(E674,""ar"",""en"")"),"Wadi Basmi Supplies")</f>
        <v>Wadi Basmi Supplies</v>
      </c>
      <c r="G674" s="22" t="s">
        <v>2756</v>
      </c>
      <c r="H674" s="24" t="s">
        <v>3593</v>
      </c>
      <c r="I674" s="23" t="s">
        <v>3690</v>
      </c>
      <c r="J674" s="5" t="str">
        <f ca="1">IFERROR(__xludf.DUMMYFUNCTION("GOOGLETRANSLATE(G674,""ar"",""en"")"),"Upper")</f>
        <v>Upper</v>
      </c>
      <c r="K674" s="11">
        <v>571753980</v>
      </c>
      <c r="L674" s="11"/>
      <c r="M674" s="5" t="str">
        <f ca="1">IFERROR(__xludf.DUMMYFUNCTION("GOOGLETRANSLATE(J674,""ar"",""en"")"),"#VALUE!")</f>
        <v>#VALUE!</v>
      </c>
      <c r="N674" s="12" t="s">
        <v>2807</v>
      </c>
      <c r="O674" s="10" t="s">
        <v>2808</v>
      </c>
    </row>
    <row r="675" spans="1:15" ht="20.100000000000001" customHeight="1" thickTop="1" thickBot="1">
      <c r="A675" s="1"/>
      <c r="B675" s="22">
        <v>674</v>
      </c>
      <c r="C675" s="22" t="s">
        <v>2809</v>
      </c>
      <c r="D675" s="22" t="s">
        <v>13</v>
      </c>
      <c r="E675" s="22" t="s">
        <v>2349</v>
      </c>
      <c r="F675" s="22" t="str">
        <f ca="1">IFERROR(__xludf.DUMMYFUNCTION("GOOGLETRANSLATE(E675,""ar"",""en"")"),"Upper Gate Supermarkets")</f>
        <v>Upper Gate Supermarkets</v>
      </c>
      <c r="G675" s="22" t="s">
        <v>2756</v>
      </c>
      <c r="H675" s="24" t="s">
        <v>3593</v>
      </c>
      <c r="I675" s="23" t="s">
        <v>3690</v>
      </c>
      <c r="J675" s="5" t="str">
        <f ca="1">IFERROR(__xludf.DUMMYFUNCTION("GOOGLETRANSLATE(G675,""ar"",""en"")"),"Upper")</f>
        <v>Upper</v>
      </c>
      <c r="K675" s="5"/>
      <c r="L675" s="5"/>
      <c r="M675" s="5" t="str">
        <f ca="1">IFERROR(__xludf.DUMMYFUNCTION("GOOGLETRANSLATE(J675,""ar"",""en"")"),"#VALUE!")</f>
        <v>#VALUE!</v>
      </c>
      <c r="N675" s="6" t="s">
        <v>2810</v>
      </c>
      <c r="O675" s="10" t="s">
        <v>2811</v>
      </c>
    </row>
    <row r="676" spans="1:15" ht="20.100000000000001" customHeight="1" thickTop="1" thickBot="1">
      <c r="A676" s="1"/>
      <c r="B676" s="22">
        <v>675</v>
      </c>
      <c r="C676" s="22" t="s">
        <v>2812</v>
      </c>
      <c r="D676" s="22" t="s">
        <v>13</v>
      </c>
      <c r="E676" s="23" t="s">
        <v>2813</v>
      </c>
      <c r="F676" s="22" t="str">
        <f ca="1">IFERROR(__xludf.DUMMYFUNCTION("GOOGLETRANSLATE(E676,""ar"",""en"")"),"Ewan Al Sharq Provisions")</f>
        <v>Ewan Al Sharq Provisions</v>
      </c>
      <c r="G676" s="22" t="s">
        <v>2756</v>
      </c>
      <c r="H676" s="24" t="s">
        <v>3593</v>
      </c>
      <c r="I676" s="23" t="s">
        <v>2814</v>
      </c>
      <c r="J676" s="5" t="str">
        <f ca="1">IFERROR(__xludf.DUMMYFUNCTION("GOOGLETRANSLATE(G676,""ar"",""en"")"),"Al-Aqrabiyah neighborhood")</f>
        <v>Al-Aqrabiyah neighborhood</v>
      </c>
      <c r="K676" s="11">
        <v>503868032</v>
      </c>
      <c r="L676" s="11"/>
      <c r="M676" s="5" t="str">
        <f ca="1">IFERROR(__xludf.DUMMYFUNCTION("GOOGLETRANSLATE(J676,""ar"",""en"")"),"#VALUE!")</f>
        <v>#VALUE!</v>
      </c>
      <c r="N676" s="12" t="s">
        <v>2815</v>
      </c>
      <c r="O676" s="10" t="s">
        <v>2816</v>
      </c>
    </row>
    <row r="677" spans="1:15" ht="20.100000000000001" customHeight="1" thickTop="1" thickBot="1">
      <c r="A677" s="1"/>
      <c r="B677" s="22">
        <v>676</v>
      </c>
      <c r="C677" s="22" t="s">
        <v>2817</v>
      </c>
      <c r="D677" s="22" t="s">
        <v>13</v>
      </c>
      <c r="E677" s="22" t="s">
        <v>2265</v>
      </c>
      <c r="F677" s="22" t="str">
        <f ca="1">IFERROR(__xludf.DUMMYFUNCTION("GOOGLETRANSLATE(E677,""ar"",""en"")"),"Hala Markets and Bakeries")</f>
        <v>Hala Markets and Bakeries</v>
      </c>
      <c r="G677" s="22" t="s">
        <v>2756</v>
      </c>
      <c r="H677" s="24" t="s">
        <v>3593</v>
      </c>
      <c r="I677" s="23" t="s">
        <v>3690</v>
      </c>
      <c r="J677" s="5" t="str">
        <f ca="1">IFERROR(__xludf.DUMMYFUNCTION("GOOGLETRANSLATE(G677,""ar"",""en"")"),"Upper")</f>
        <v>Upper</v>
      </c>
      <c r="K677" s="5"/>
      <c r="L677" s="5"/>
      <c r="M677" s="5" t="str">
        <f ca="1">IFERROR(__xludf.DUMMYFUNCTION("GOOGLETRANSLATE(J677,""ar"",""en"")"),"#VALUE!")</f>
        <v>#VALUE!</v>
      </c>
      <c r="N677" s="6" t="s">
        <v>2818</v>
      </c>
      <c r="O677" s="10" t="s">
        <v>2819</v>
      </c>
    </row>
    <row r="678" spans="1:15" ht="20.100000000000001" customHeight="1" thickTop="1" thickBot="1">
      <c r="A678" s="1"/>
      <c r="B678" s="22">
        <v>677</v>
      </c>
      <c r="C678" s="22" t="s">
        <v>2820</v>
      </c>
      <c r="D678" s="22" t="s">
        <v>13</v>
      </c>
      <c r="E678" s="23" t="s">
        <v>2821</v>
      </c>
      <c r="F678" s="22" t="str">
        <f ca="1">IFERROR(__xludf.DUMMYFUNCTION("GOOGLETRANSLATE(E678,""ar"",""en"")"),"Falkom Tayeb Supermarkets and Bakeries")</f>
        <v>Falkom Tayeb Supermarkets and Bakeries</v>
      </c>
      <c r="G678" s="22" t="s">
        <v>2756</v>
      </c>
      <c r="H678" s="24" t="s">
        <v>3593</v>
      </c>
      <c r="I678" s="23" t="s">
        <v>2814</v>
      </c>
      <c r="J678" s="5" t="str">
        <f ca="1">IFERROR(__xludf.DUMMYFUNCTION("GOOGLETRANSLATE(G678,""ar"",""en"")"),"Al-Aqrabiyah neighborhood")</f>
        <v>Al-Aqrabiyah neighborhood</v>
      </c>
      <c r="K678" s="11">
        <v>537229658</v>
      </c>
      <c r="L678" s="11" t="s">
        <v>175</v>
      </c>
      <c r="M678" s="5" t="str">
        <f ca="1">IFERROR(__xludf.DUMMYFUNCTION("GOOGLETRANSLATE(J678,""ar"",""en"")"),"Abdullah")</f>
        <v>Abdullah</v>
      </c>
      <c r="N678" s="12" t="s">
        <v>2822</v>
      </c>
      <c r="O678" s="10" t="s">
        <v>2823</v>
      </c>
    </row>
    <row r="679" spans="1:15" ht="20.100000000000001" customHeight="1" thickTop="1" thickBot="1">
      <c r="A679" s="1"/>
      <c r="B679" s="22">
        <v>678</v>
      </c>
      <c r="C679" s="22" t="s">
        <v>2824</v>
      </c>
      <c r="D679" s="22" t="s">
        <v>13</v>
      </c>
      <c r="E679" s="22" t="s">
        <v>2825</v>
      </c>
      <c r="F679" s="22" t="str">
        <f ca="1">IFERROR(__xludf.DUMMYFUNCTION("GOOGLETRANSLATE(E679,""ar"",""en"")"),"Layla Al-Aflaj Grocery Establishment")</f>
        <v>Layla Al-Aflaj Grocery Establishment</v>
      </c>
      <c r="G679" s="22" t="s">
        <v>2756</v>
      </c>
      <c r="H679" s="24" t="s">
        <v>3593</v>
      </c>
      <c r="I679" s="23" t="s">
        <v>2814</v>
      </c>
      <c r="J679" s="5" t="str">
        <f ca="1">IFERROR(__xludf.DUMMYFUNCTION("GOOGLETRANSLATE(G679,""ar"",""en"")"),"Al-Aqrabiyah neighborhood")</f>
        <v>Al-Aqrabiyah neighborhood</v>
      </c>
      <c r="K679" s="5">
        <v>506961710</v>
      </c>
      <c r="L679" s="5"/>
      <c r="M679" s="5" t="str">
        <f ca="1">IFERROR(__xludf.DUMMYFUNCTION("GOOGLETRANSLATE(J679,""ar"",""en"")"),"#VALUE!")</f>
        <v>#VALUE!</v>
      </c>
      <c r="N679" s="6" t="s">
        <v>2826</v>
      </c>
      <c r="O679" s="10" t="s">
        <v>2827</v>
      </c>
    </row>
    <row r="680" spans="1:15" ht="20.100000000000001" customHeight="1" thickTop="1" thickBot="1">
      <c r="A680" s="1"/>
      <c r="B680" s="22">
        <v>679</v>
      </c>
      <c r="C680" s="22" t="s">
        <v>2828</v>
      </c>
      <c r="D680" s="22" t="s">
        <v>13</v>
      </c>
      <c r="E680" s="23" t="s">
        <v>2829</v>
      </c>
      <c r="F680" s="22" t="str">
        <f ca="1">IFERROR(__xludf.DUMMYFUNCTION("GOOGLETRANSLATE(E680,""ar"",""en"")"),"Al-Aqsa Silver Supplies")</f>
        <v>Al-Aqsa Silver Supplies</v>
      </c>
      <c r="G680" s="22" t="s">
        <v>2756</v>
      </c>
      <c r="H680" s="24" t="s">
        <v>3593</v>
      </c>
      <c r="I680" s="23" t="s">
        <v>2814</v>
      </c>
      <c r="J680" s="5" t="str">
        <f ca="1">IFERROR(__xludf.DUMMYFUNCTION("GOOGLETRANSLATE(G680,""ar"",""en"")"),"Al-Aqrabiyah neighborhood")</f>
        <v>Al-Aqrabiyah neighborhood</v>
      </c>
      <c r="K680" s="11">
        <v>571704081</v>
      </c>
      <c r="L680" s="11"/>
      <c r="M680" s="5" t="str">
        <f ca="1">IFERROR(__xludf.DUMMYFUNCTION("GOOGLETRANSLATE(J680,""ar"",""en"")"),"#VALUE!")</f>
        <v>#VALUE!</v>
      </c>
      <c r="N680" s="12" t="s">
        <v>2830</v>
      </c>
      <c r="O680" s="10" t="s">
        <v>2831</v>
      </c>
    </row>
    <row r="681" spans="1:15" ht="20.100000000000001" customHeight="1" thickTop="1" thickBot="1">
      <c r="A681" s="1"/>
      <c r="B681" s="22">
        <v>680</v>
      </c>
      <c r="C681" s="22" t="s">
        <v>2832</v>
      </c>
      <c r="D681" s="22" t="s">
        <v>13</v>
      </c>
      <c r="E681" s="22" t="s">
        <v>2833</v>
      </c>
      <c r="F681" s="22" t="str">
        <f ca="1">IFERROR(__xludf.DUMMYFUNCTION("GOOGLETRANSLATE(E681,""ar"",""en"")"),"Basra Hamoud Sheiba Jarman Grocery")</f>
        <v>Basra Hamoud Sheiba Jarman Grocery</v>
      </c>
      <c r="G681" s="22" t="s">
        <v>2756</v>
      </c>
      <c r="H681" s="24" t="s">
        <v>3593</v>
      </c>
      <c r="I681" s="23" t="s">
        <v>2814</v>
      </c>
      <c r="J681" s="5" t="str">
        <f ca="1">IFERROR(__xludf.DUMMYFUNCTION("GOOGLETRANSLATE(G681,""ar"",""en"")"),"Al-Aqrabiyah neighborhood")</f>
        <v>Al-Aqrabiyah neighborhood</v>
      </c>
      <c r="K681" s="5">
        <v>557114927</v>
      </c>
      <c r="L681" s="5"/>
      <c r="M681" s="5" t="str">
        <f ca="1">IFERROR(__xludf.DUMMYFUNCTION("GOOGLETRANSLATE(J681,""ar"",""en"")"),"#VALUE!")</f>
        <v>#VALUE!</v>
      </c>
      <c r="N681" s="6" t="s">
        <v>2834</v>
      </c>
      <c r="O681" s="10" t="s">
        <v>2835</v>
      </c>
    </row>
    <row r="682" spans="1:15" ht="20.100000000000001" customHeight="1" thickTop="1" thickBot="1">
      <c r="A682" s="1"/>
      <c r="B682" s="22">
        <v>681</v>
      </c>
      <c r="C682" s="22" t="s">
        <v>2836</v>
      </c>
      <c r="D682" s="22" t="s">
        <v>13</v>
      </c>
      <c r="E682" s="23" t="s">
        <v>2837</v>
      </c>
      <c r="F682" s="22" t="str">
        <f ca="1">IFERROR(__xludf.DUMMYFUNCTION("GOOGLETRANSLATE(E682,""ar"",""en"")"),"Rivan Square Supermarkets")</f>
        <v>Rivan Square Supermarkets</v>
      </c>
      <c r="G682" s="22" t="s">
        <v>2756</v>
      </c>
      <c r="H682" s="24" t="s">
        <v>3593</v>
      </c>
      <c r="I682" s="23" t="s">
        <v>2814</v>
      </c>
      <c r="J682" s="5" t="str">
        <f ca="1">IFERROR(__xludf.DUMMYFUNCTION("GOOGLETRANSLATE(G682,""ar"",""en"")"),"Al-Aqrabiyah neighborhood")</f>
        <v>Al-Aqrabiyah neighborhood</v>
      </c>
      <c r="K682" s="11">
        <v>576320628</v>
      </c>
      <c r="L682" s="11" t="s">
        <v>361</v>
      </c>
      <c r="M682" s="5" t="str">
        <f ca="1">IFERROR(__xludf.DUMMYFUNCTION("GOOGLETRANSLATE(J682,""ar"",""en"")"),"Ahmed")</f>
        <v>Ahmed</v>
      </c>
      <c r="N682" s="12" t="s">
        <v>2838</v>
      </c>
      <c r="O682" s="10" t="s">
        <v>2839</v>
      </c>
    </row>
    <row r="683" spans="1:15" ht="20.100000000000001" customHeight="1" thickTop="1" thickBot="1">
      <c r="A683" s="1"/>
      <c r="B683" s="22">
        <v>682</v>
      </c>
      <c r="C683" s="22" t="s">
        <v>2840</v>
      </c>
      <c r="D683" s="22" t="s">
        <v>13</v>
      </c>
      <c r="E683" s="22" t="s">
        <v>2841</v>
      </c>
      <c r="F683" s="22" t="str">
        <f ca="1">IFERROR(__xludf.DUMMYFUNCTION("GOOGLETRANSLATE(E683,""ar"",""en"")"),"Grand Summit Foundation")</f>
        <v>Grand Summit Foundation</v>
      </c>
      <c r="G683" s="22" t="s">
        <v>2756</v>
      </c>
      <c r="H683" s="24" t="s">
        <v>3593</v>
      </c>
      <c r="I683" s="23" t="s">
        <v>2814</v>
      </c>
      <c r="J683" s="5" t="str">
        <f ca="1">IFERROR(__xludf.DUMMYFUNCTION("GOOGLETRANSLATE(G683,""ar"",""en"")"),"Al-Aqrabiyah neighborhood")</f>
        <v>Al-Aqrabiyah neighborhood</v>
      </c>
      <c r="K683" s="5">
        <v>596051623</v>
      </c>
      <c r="L683" s="5" t="s">
        <v>175</v>
      </c>
      <c r="M683" s="5" t="str">
        <f ca="1">IFERROR(__xludf.DUMMYFUNCTION("GOOGLETRANSLATE(J683,""ar"",""en"")"),"Abdullah")</f>
        <v>Abdullah</v>
      </c>
      <c r="N683" s="6" t="s">
        <v>2842</v>
      </c>
      <c r="O683" s="10" t="s">
        <v>2843</v>
      </c>
    </row>
    <row r="684" spans="1:15" ht="20.100000000000001" customHeight="1" thickTop="1" thickBot="1">
      <c r="A684" s="1"/>
      <c r="B684" s="22">
        <v>683</v>
      </c>
      <c r="C684" s="22" t="s">
        <v>2844</v>
      </c>
      <c r="D684" s="22" t="s">
        <v>13</v>
      </c>
      <c r="E684" s="23" t="s">
        <v>2845</v>
      </c>
      <c r="F684" s="22" t="str">
        <f ca="1">IFERROR(__xludf.DUMMYFUNCTION("GOOGLETRANSLATE(E684,""ar"",""en"")"),"Mohammed Ali Bin Saleh Al-Qahs Company")</f>
        <v>Mohammed Ali Bin Saleh Al-Qahs Company</v>
      </c>
      <c r="G684" s="22" t="s">
        <v>2756</v>
      </c>
      <c r="H684" s="24" t="s">
        <v>3593</v>
      </c>
      <c r="I684" s="23" t="s">
        <v>2814</v>
      </c>
      <c r="J684" s="5" t="str">
        <f ca="1">IFERROR(__xludf.DUMMYFUNCTION("GOOGLETRANSLATE(G684,""ar"",""en"")"),"Al-Aqrabiyah neighborhood")</f>
        <v>Al-Aqrabiyah neighborhood</v>
      </c>
      <c r="K684" s="11"/>
      <c r="L684" s="11"/>
      <c r="M684" s="5" t="str">
        <f ca="1">IFERROR(__xludf.DUMMYFUNCTION("GOOGLETRANSLATE(J684,""ar"",""en"")"),"#VALUE!")</f>
        <v>#VALUE!</v>
      </c>
      <c r="N684" s="12" t="s">
        <v>2846</v>
      </c>
      <c r="O684" s="10" t="s">
        <v>2847</v>
      </c>
    </row>
    <row r="685" spans="1:15" ht="20.100000000000001" customHeight="1" thickTop="1" thickBot="1">
      <c r="A685" s="1"/>
      <c r="B685" s="22">
        <v>684</v>
      </c>
      <c r="C685" s="22" t="s">
        <v>2848</v>
      </c>
      <c r="D685" s="22" t="s">
        <v>13</v>
      </c>
      <c r="E685" s="22" t="s">
        <v>2602</v>
      </c>
      <c r="F685" s="22" t="str">
        <f ca="1">IFERROR(__xludf.DUMMYFUNCTION("GOOGLETRANSLATE(E685,""ar"",""en"")"),"Najoum Hala Markets")</f>
        <v>Najoum Hala Markets</v>
      </c>
      <c r="G685" s="22" t="s">
        <v>2756</v>
      </c>
      <c r="H685" s="24" t="s">
        <v>3593</v>
      </c>
      <c r="I685" s="23" t="s">
        <v>2814</v>
      </c>
      <c r="J685" s="5" t="str">
        <f ca="1">IFERROR(__xludf.DUMMYFUNCTION("GOOGLETRANSLATE(G685,""ar"",""en"")"),"Al-Aqrabiyah neighborhood")</f>
        <v>Al-Aqrabiyah neighborhood</v>
      </c>
      <c r="K685" s="5">
        <v>559301107</v>
      </c>
      <c r="L685" s="5"/>
      <c r="M685" s="5" t="str">
        <f ca="1">IFERROR(__xludf.DUMMYFUNCTION("GOOGLETRANSLATE(J685,""ar"",""en"")"),"#VALUE!")</f>
        <v>#VALUE!</v>
      </c>
      <c r="N685" s="6" t="s">
        <v>2849</v>
      </c>
      <c r="O685" s="10" t="s">
        <v>2850</v>
      </c>
    </row>
    <row r="686" spans="1:15" ht="20.100000000000001" customHeight="1" thickTop="1" thickBot="1">
      <c r="A686" s="1"/>
      <c r="B686" s="22">
        <v>685</v>
      </c>
      <c r="C686" s="22" t="s">
        <v>2851</v>
      </c>
      <c r="D686" s="22" t="s">
        <v>13</v>
      </c>
      <c r="E686" s="23" t="s">
        <v>2852</v>
      </c>
      <c r="F686" s="22" t="str">
        <f ca="1">IFERROR(__xludf.DUMMYFUNCTION("GOOGLETRANSLATE(E686,""ar"",""en"")"),"Al-Huwaiti Foundation")</f>
        <v>Al-Huwaiti Foundation</v>
      </c>
      <c r="G686" s="22" t="s">
        <v>2756</v>
      </c>
      <c r="H686" s="24" t="s">
        <v>3593</v>
      </c>
      <c r="I686" s="23" t="s">
        <v>2814</v>
      </c>
      <c r="J686" s="5" t="str">
        <f ca="1">IFERROR(__xludf.DUMMYFUNCTION("GOOGLETRANSLATE(G686,""ar"",""en"")"),"Al-Aqrabiyah neighborhood")</f>
        <v>Al-Aqrabiyah neighborhood</v>
      </c>
      <c r="K686" s="11">
        <v>508221023</v>
      </c>
      <c r="L686" s="11" t="s">
        <v>175</v>
      </c>
      <c r="M686" s="5" t="str">
        <f ca="1">IFERROR(__xludf.DUMMYFUNCTION("GOOGLETRANSLATE(J686,""ar"",""en"")"),"Abdullah")</f>
        <v>Abdullah</v>
      </c>
      <c r="N686" s="12" t="s">
        <v>2853</v>
      </c>
      <c r="O686" s="10" t="s">
        <v>2854</v>
      </c>
    </row>
    <row r="687" spans="1:15" ht="20.100000000000001" customHeight="1" thickTop="1" thickBot="1">
      <c r="A687" s="1"/>
      <c r="B687" s="22">
        <v>686</v>
      </c>
      <c r="C687" s="22" t="s">
        <v>2855</v>
      </c>
      <c r="D687" s="22" t="s">
        <v>13</v>
      </c>
      <c r="E687" s="22" t="s">
        <v>2049</v>
      </c>
      <c r="F687" s="22" t="str">
        <f ca="1">IFERROR(__xludf.DUMMYFUNCTION("GOOGLETRANSLATE(E687,""ar"",""en"")"),"Supplies")</f>
        <v>Supplies</v>
      </c>
      <c r="G687" s="22" t="s">
        <v>2756</v>
      </c>
      <c r="H687" s="24" t="s">
        <v>3593</v>
      </c>
      <c r="I687" s="23" t="s">
        <v>2814</v>
      </c>
      <c r="J687" s="5" t="str">
        <f ca="1">IFERROR(__xludf.DUMMYFUNCTION("GOOGLETRANSLATE(G687,""ar"",""en"")"),"#VALUE!")</f>
        <v>#VALUE!</v>
      </c>
      <c r="K687" s="5">
        <v>593022619</v>
      </c>
      <c r="L687" s="5" t="s">
        <v>2856</v>
      </c>
      <c r="M687" s="5" t="str">
        <f ca="1">IFERROR(__xludf.DUMMYFUNCTION("GOOGLETRANSLATE(J687,""ar"",""en"")"),"Mohammed Mahdi")</f>
        <v>Mohammed Mahdi</v>
      </c>
      <c r="N687" s="6" t="s">
        <v>2857</v>
      </c>
      <c r="O687" s="10" t="s">
        <v>2858</v>
      </c>
    </row>
    <row r="688" spans="1:15" ht="20.100000000000001" customHeight="1" thickTop="1" thickBot="1">
      <c r="A688" s="1"/>
      <c r="B688" s="22">
        <v>687</v>
      </c>
      <c r="C688" s="22" t="s">
        <v>2859</v>
      </c>
      <c r="D688" s="22" t="s">
        <v>13</v>
      </c>
      <c r="E688" s="23" t="s">
        <v>2860</v>
      </c>
      <c r="F688" s="22" t="str">
        <f ca="1">IFERROR(__xludf.DUMMYFUNCTION("GOOGLETRANSLATE(E688,""ar"",""en"")"),"Ozone Economic Company Supermarket")</f>
        <v>Ozone Economic Company Supermarket</v>
      </c>
      <c r="G688" s="22" t="s">
        <v>2756</v>
      </c>
      <c r="H688" s="24" t="s">
        <v>3593</v>
      </c>
      <c r="I688" s="23" t="s">
        <v>2814</v>
      </c>
      <c r="J688" s="5" t="str">
        <f ca="1">IFERROR(__xludf.DUMMYFUNCTION("GOOGLETRANSLATE(G688,""ar"",""en"")"),"Al-Aqrabiyah neighborhood")</f>
        <v>Al-Aqrabiyah neighborhood</v>
      </c>
      <c r="K688" s="11"/>
      <c r="L688" s="11"/>
      <c r="M688" s="5" t="str">
        <f ca="1">IFERROR(__xludf.DUMMYFUNCTION("GOOGLETRANSLATE(J688,""ar"",""en"")"),"#VALUE!")</f>
        <v>#VALUE!</v>
      </c>
      <c r="N688" s="12" t="s">
        <v>2861</v>
      </c>
      <c r="O688" s="10" t="s">
        <v>2862</v>
      </c>
    </row>
    <row r="689" spans="1:15" ht="20.100000000000001" customHeight="1" thickTop="1" thickBot="1">
      <c r="A689" s="1"/>
      <c r="B689" s="22">
        <v>688</v>
      </c>
      <c r="C689" s="22" t="s">
        <v>2863</v>
      </c>
      <c r="D689" s="22" t="s">
        <v>13</v>
      </c>
      <c r="E689" s="22" t="s">
        <v>2864</v>
      </c>
      <c r="F689" s="22" t="str">
        <f ca="1">IFERROR(__xludf.DUMMYFUNCTION("GOOGLETRANSLATE(E689,""ar"",""en"")"),"Rawasi Al Khaleej Grocery")</f>
        <v>Rawasi Al Khaleej Grocery</v>
      </c>
      <c r="G689" s="22" t="s">
        <v>2756</v>
      </c>
      <c r="H689" s="24" t="s">
        <v>3593</v>
      </c>
      <c r="I689" s="23" t="s">
        <v>2814</v>
      </c>
      <c r="J689" s="5" t="str">
        <f ca="1">IFERROR(__xludf.DUMMYFUNCTION("GOOGLETRANSLATE(G689,""ar"",""en"")"),"Scorpion")</f>
        <v>Scorpion</v>
      </c>
      <c r="K689" s="5">
        <v>557383834</v>
      </c>
      <c r="L689" s="5"/>
      <c r="M689" s="5" t="str">
        <f ca="1">IFERROR(__xludf.DUMMYFUNCTION("GOOGLETRANSLATE(J689,""ar"",""en"")"),"#VALUE!")</f>
        <v>#VALUE!</v>
      </c>
      <c r="N689" s="6" t="s">
        <v>2865</v>
      </c>
      <c r="O689" s="10" t="s">
        <v>2866</v>
      </c>
    </row>
    <row r="690" spans="1:15" ht="20.100000000000001" customHeight="1" thickTop="1" thickBot="1">
      <c r="A690" s="1"/>
      <c r="B690" s="22">
        <v>689</v>
      </c>
      <c r="C690" s="22" t="s">
        <v>2867</v>
      </c>
      <c r="D690" s="22" t="s">
        <v>13</v>
      </c>
      <c r="E690" s="23" t="s">
        <v>2868</v>
      </c>
      <c r="F690" s="22" t="str">
        <f ca="1">IFERROR(__xludf.DUMMYFUNCTION("GOOGLETRANSLATE(E690,""ar"",""en"")"),"Saad Fahd Al-Qahtani")</f>
        <v>Saad Fahd Al-Qahtani</v>
      </c>
      <c r="G690" s="22" t="s">
        <v>2756</v>
      </c>
      <c r="H690" s="24" t="s">
        <v>3593</v>
      </c>
      <c r="I690" s="23" t="s">
        <v>2814</v>
      </c>
      <c r="J690" s="5" t="str">
        <f ca="1">IFERROR(__xludf.DUMMYFUNCTION("GOOGLETRANSLATE(G690,""ar"",""en"")"),"Al-Aqrabiyah neighborhood")</f>
        <v>Al-Aqrabiyah neighborhood</v>
      </c>
      <c r="K690" s="11"/>
      <c r="L690" s="11"/>
      <c r="M690" s="5" t="str">
        <f ca="1">IFERROR(__xludf.DUMMYFUNCTION("GOOGLETRANSLATE(J690,""ar"",""en"")"),"#VALUE!")</f>
        <v>#VALUE!</v>
      </c>
      <c r="N690" s="12" t="s">
        <v>2869</v>
      </c>
      <c r="O690" s="10" t="s">
        <v>2870</v>
      </c>
    </row>
    <row r="691" spans="1:15" ht="20.100000000000001" customHeight="1" thickTop="1" thickBot="1">
      <c r="A691" s="1"/>
      <c r="B691" s="22">
        <v>690</v>
      </c>
      <c r="C691" s="22" t="s">
        <v>2871</v>
      </c>
      <c r="D691" s="22" t="s">
        <v>13</v>
      </c>
      <c r="E691" s="22" t="s">
        <v>2872</v>
      </c>
      <c r="F691" s="22" t="str">
        <f ca="1">IFERROR(__xludf.DUMMYFUNCTION("GOOGLETRANSLATE(E691,""ar"",""en"")"),"Qamar Al-Dawahy Supplies")</f>
        <v>Qamar Al-Dawahy Supplies</v>
      </c>
      <c r="G691" s="22" t="s">
        <v>2756</v>
      </c>
      <c r="H691" s="24" t="s">
        <v>3593</v>
      </c>
      <c r="I691" s="23" t="s">
        <v>2814</v>
      </c>
      <c r="J691" s="5" t="str">
        <f ca="1">IFERROR(__xludf.DUMMYFUNCTION("GOOGLETRANSLATE(G691,""ar"",""en"")"),"Scorpion")</f>
        <v>Scorpion</v>
      </c>
      <c r="K691" s="5"/>
      <c r="L691" s="5"/>
      <c r="M691" s="5" t="str">
        <f ca="1">IFERROR(__xludf.DUMMYFUNCTION("GOOGLETRANSLATE(J691,""ar"",""en"")"),"#VALUE!")</f>
        <v>#VALUE!</v>
      </c>
      <c r="N691" s="6" t="s">
        <v>2873</v>
      </c>
      <c r="O691" s="10" t="s">
        <v>2874</v>
      </c>
    </row>
    <row r="692" spans="1:15" ht="20.100000000000001" customHeight="1" thickTop="1" thickBot="1">
      <c r="A692" s="1"/>
      <c r="B692" s="22">
        <v>691</v>
      </c>
      <c r="C692" s="22" t="s">
        <v>2875</v>
      </c>
      <c r="D692" s="22" t="s">
        <v>13</v>
      </c>
      <c r="E692" s="23" t="s">
        <v>2876</v>
      </c>
      <c r="F692" s="22" t="str">
        <f ca="1">IFERROR(__xludf.DUMMYFUNCTION("GOOGLETRANSLATE(E692,""ar"",""en"")"),"Quality Supplies Company")</f>
        <v>Quality Supplies Company</v>
      </c>
      <c r="G692" s="22" t="s">
        <v>2756</v>
      </c>
      <c r="H692" s="24" t="s">
        <v>3593</v>
      </c>
      <c r="I692" s="23" t="s">
        <v>2814</v>
      </c>
      <c r="J692" s="5" t="str">
        <f ca="1">IFERROR(__xludf.DUMMYFUNCTION("GOOGLETRANSLATE(G692,""ar"",""en"")"),"Scorpion")</f>
        <v>Scorpion</v>
      </c>
      <c r="K692" s="11"/>
      <c r="L692" s="11"/>
      <c r="M692" s="5" t="str">
        <f ca="1">IFERROR(__xludf.DUMMYFUNCTION("GOOGLETRANSLATE(J692,""ar"",""en"")"),"#VALUE!")</f>
        <v>#VALUE!</v>
      </c>
      <c r="N692" s="12" t="s">
        <v>2877</v>
      </c>
      <c r="O692" s="10" t="s">
        <v>2878</v>
      </c>
    </row>
    <row r="693" spans="1:15" ht="20.100000000000001" customHeight="1" thickTop="1" thickBot="1">
      <c r="A693" s="1"/>
      <c r="B693" s="22">
        <v>692</v>
      </c>
      <c r="C693" s="22" t="s">
        <v>2879</v>
      </c>
      <c r="D693" s="22" t="s">
        <v>13</v>
      </c>
      <c r="E693" s="22" t="s">
        <v>2880</v>
      </c>
      <c r="F693" s="22" t="str">
        <f ca="1">IFERROR(__xludf.DUMMYFUNCTION("GOOGLETRANSLATE(E693,""ar"",""en"")"),"Ahla Al-Mushtariyat Supplies")</f>
        <v>Ahla Al-Mushtariyat Supplies</v>
      </c>
      <c r="G693" s="22" t="s">
        <v>2756</v>
      </c>
      <c r="H693" s="24" t="s">
        <v>3593</v>
      </c>
      <c r="I693" s="23" t="s">
        <v>2814</v>
      </c>
      <c r="J693" s="5" t="str">
        <f ca="1">IFERROR(__xludf.DUMMYFUNCTION("GOOGLETRANSLATE(G693,""ar"",""en"")"),"Scorpion")</f>
        <v>Scorpion</v>
      </c>
      <c r="K693" s="5"/>
      <c r="L693" s="5"/>
      <c r="M693" s="5" t="str">
        <f ca="1">IFERROR(__xludf.DUMMYFUNCTION("GOOGLETRANSLATE(J693,""ar"",""en"")"),"#VALUE!")</f>
        <v>#VALUE!</v>
      </c>
      <c r="N693" s="6" t="s">
        <v>2881</v>
      </c>
      <c r="O693" s="10" t="s">
        <v>2882</v>
      </c>
    </row>
    <row r="694" spans="1:15" ht="20.100000000000001" customHeight="1" thickTop="1" thickBot="1">
      <c r="A694" s="1"/>
      <c r="B694" s="22">
        <v>693</v>
      </c>
      <c r="C694" s="22" t="s">
        <v>2883</v>
      </c>
      <c r="D694" s="22" t="s">
        <v>13</v>
      </c>
      <c r="E694" s="23" t="s">
        <v>2884</v>
      </c>
      <c r="F694" s="22" t="str">
        <f ca="1">IFERROR(__xludf.DUMMYFUNCTION("GOOGLETRANSLATE(E694,""ar"",""en"")"),"Asiamon Foundation")</f>
        <v>Asiamon Foundation</v>
      </c>
      <c r="G694" s="22" t="s">
        <v>2756</v>
      </c>
      <c r="H694" s="24" t="s">
        <v>3593</v>
      </c>
      <c r="I694" s="23" t="s">
        <v>2814</v>
      </c>
      <c r="J694" s="5" t="str">
        <f ca="1">IFERROR(__xludf.DUMMYFUNCTION("GOOGLETRANSLATE(G694,""ar"",""en"")"),"Scorpion")</f>
        <v>Scorpion</v>
      </c>
      <c r="K694" s="11">
        <v>556781651</v>
      </c>
      <c r="L694" s="11"/>
      <c r="M694" s="5" t="str">
        <f ca="1">IFERROR(__xludf.DUMMYFUNCTION("GOOGLETRANSLATE(J694,""ar"",""en"")"),"#VALUE!")</f>
        <v>#VALUE!</v>
      </c>
      <c r="N694" s="12" t="s">
        <v>2885</v>
      </c>
      <c r="O694" s="10" t="s">
        <v>2886</v>
      </c>
    </row>
    <row r="695" spans="1:15" ht="20.100000000000001" customHeight="1" thickTop="1" thickBot="1">
      <c r="A695" s="1"/>
      <c r="B695" s="22">
        <v>694</v>
      </c>
      <c r="C695" s="22" t="s">
        <v>2887</v>
      </c>
      <c r="D695" s="22" t="s">
        <v>13</v>
      </c>
      <c r="E695" s="22" t="s">
        <v>2888</v>
      </c>
      <c r="F695" s="22" t="str">
        <f ca="1">IFERROR(__xludf.DUMMYFUNCTION("GOOGLETRANSLATE(E695,""ar"",""en"")"),"Abeer Al Sharqia Grocery")</f>
        <v>Abeer Al Sharqia Grocery</v>
      </c>
      <c r="G695" s="22" t="s">
        <v>2756</v>
      </c>
      <c r="H695" s="24" t="s">
        <v>3593</v>
      </c>
      <c r="I695" s="23" t="s">
        <v>2814</v>
      </c>
      <c r="J695" s="5" t="str">
        <f ca="1">IFERROR(__xludf.DUMMYFUNCTION("GOOGLETRANSLATE(G695,""ar"",""en"")"),"Scorpion")</f>
        <v>Scorpion</v>
      </c>
      <c r="K695" s="5">
        <v>561768783</v>
      </c>
      <c r="L695" s="5" t="s">
        <v>2889</v>
      </c>
      <c r="M695" s="5" t="str">
        <f ca="1">IFERROR(__xludf.DUMMYFUNCTION("GOOGLETRANSLATE(J695,""ar"",""en"")"),"awesome")</f>
        <v>awesome</v>
      </c>
      <c r="N695" s="6" t="s">
        <v>2890</v>
      </c>
      <c r="O695" s="10" t="s">
        <v>2891</v>
      </c>
    </row>
    <row r="696" spans="1:15" ht="20.100000000000001" customHeight="1" thickTop="1" thickBot="1">
      <c r="A696" s="1"/>
      <c r="B696" s="22">
        <v>695</v>
      </c>
      <c r="C696" s="22" t="s">
        <v>2892</v>
      </c>
      <c r="D696" s="22" t="s">
        <v>13</v>
      </c>
      <c r="E696" s="23" t="s">
        <v>2893</v>
      </c>
      <c r="F696" s="22" t="str">
        <f ca="1">IFERROR(__xludf.DUMMYFUNCTION("GOOGLETRANSLATE(E696,""ar"",""en"")"),"Manar Al Hayat Supplies")</f>
        <v>Manar Al Hayat Supplies</v>
      </c>
      <c r="G696" s="22" t="s">
        <v>2756</v>
      </c>
      <c r="H696" s="24" t="s">
        <v>3593</v>
      </c>
      <c r="I696" s="23" t="s">
        <v>2814</v>
      </c>
      <c r="J696" s="5" t="str">
        <f ca="1">IFERROR(__xludf.DUMMYFUNCTION("GOOGLETRANSLATE(G696,""ar"",""en"")"),"Al-Aqrabiyah neighborhood")</f>
        <v>Al-Aqrabiyah neighborhood</v>
      </c>
      <c r="K696" s="11">
        <v>573376248</v>
      </c>
      <c r="L696" s="11"/>
      <c r="M696" s="5" t="str">
        <f ca="1">IFERROR(__xludf.DUMMYFUNCTION("GOOGLETRANSLATE(J696,""ar"",""en"")"),"#VALUE!")</f>
        <v>#VALUE!</v>
      </c>
      <c r="N696" s="12" t="s">
        <v>2894</v>
      </c>
      <c r="O696" s="10" t="s">
        <v>2895</v>
      </c>
    </row>
    <row r="697" spans="1:15" ht="20.100000000000001" customHeight="1" thickTop="1" thickBot="1">
      <c r="A697" s="1"/>
      <c r="B697" s="22">
        <v>696</v>
      </c>
      <c r="C697" s="22" t="s">
        <v>2896</v>
      </c>
      <c r="D697" s="22" t="s">
        <v>13</v>
      </c>
      <c r="E697" s="22" t="s">
        <v>2897</v>
      </c>
      <c r="F697" s="22" t="str">
        <f ca="1">IFERROR(__xludf.DUMMYFUNCTION("GOOGLETRANSLATE(E697,""ar"",""en"")"),"Good Safinat Al Khair Supplies")</f>
        <v>Good Safinat Al Khair Supplies</v>
      </c>
      <c r="G697" s="22" t="s">
        <v>2756</v>
      </c>
      <c r="H697" s="24" t="s">
        <v>3593</v>
      </c>
      <c r="I697" s="23" t="s">
        <v>2814</v>
      </c>
      <c r="J697" s="5" t="str">
        <f ca="1">IFERROR(__xludf.DUMMYFUNCTION("GOOGLETRANSLATE(G697,""ar"",""en"")"),"Scorpion")</f>
        <v>Scorpion</v>
      </c>
      <c r="K697" s="5">
        <v>536796880</v>
      </c>
      <c r="L697" s="5"/>
      <c r="M697" s="5" t="str">
        <f ca="1">IFERROR(__xludf.DUMMYFUNCTION("GOOGLETRANSLATE(J697,""ar"",""en"")"),"#VALUE!")</f>
        <v>#VALUE!</v>
      </c>
      <c r="N697" s="6" t="s">
        <v>2898</v>
      </c>
      <c r="O697" s="10" t="s">
        <v>2899</v>
      </c>
    </row>
    <row r="698" spans="1:15" ht="20.100000000000001" customHeight="1" thickTop="1" thickBot="1">
      <c r="A698" s="1"/>
      <c r="B698" s="22">
        <v>697</v>
      </c>
      <c r="C698" s="22" t="s">
        <v>2900</v>
      </c>
      <c r="D698" s="22" t="s">
        <v>13</v>
      </c>
      <c r="E698" s="23" t="s">
        <v>2901</v>
      </c>
      <c r="F698" s="22" t="str">
        <f ca="1">IFERROR(__xludf.DUMMYFUNCTION("GOOGLETRANSLATE(E698,""ar"",""en"")"),"Marketing Survey Center")</f>
        <v>Marketing Survey Center</v>
      </c>
      <c r="G698" s="22" t="s">
        <v>2756</v>
      </c>
      <c r="H698" s="24" t="s">
        <v>3593</v>
      </c>
      <c r="I698" s="23" t="s">
        <v>2814</v>
      </c>
      <c r="J698" s="5" t="str">
        <f ca="1">IFERROR(__xludf.DUMMYFUNCTION("GOOGLETRANSLATE(G698,""ar"",""en"")"),"Al-Aqrabiyah neighborhood")</f>
        <v>Al-Aqrabiyah neighborhood</v>
      </c>
      <c r="K698" s="11"/>
      <c r="L698" s="11"/>
      <c r="M698" s="5" t="str">
        <f ca="1">IFERROR(__xludf.DUMMYFUNCTION("GOOGLETRANSLATE(J698,""ar"",""en"")"),"#VALUE!")</f>
        <v>#VALUE!</v>
      </c>
      <c r="N698" s="12" t="s">
        <v>2902</v>
      </c>
      <c r="O698" s="10" t="s">
        <v>2903</v>
      </c>
    </row>
    <row r="699" spans="1:15" ht="20.100000000000001" customHeight="1" thickTop="1" thickBot="1">
      <c r="A699" s="1"/>
      <c r="B699" s="22">
        <v>698</v>
      </c>
      <c r="C699" s="22" t="s">
        <v>2904</v>
      </c>
      <c r="D699" s="22" t="s">
        <v>13</v>
      </c>
      <c r="E699" s="22" t="s">
        <v>2629</v>
      </c>
      <c r="F699" s="22" t="str">
        <f ca="1">IFERROR(__xludf.DUMMYFUNCTION("GOOGLETRANSLATE(E699,""ar"",""en"")"),"Entrance Supplies")</f>
        <v>Entrance Supplies</v>
      </c>
      <c r="G699" s="22" t="s">
        <v>2756</v>
      </c>
      <c r="H699" s="24" t="s">
        <v>3593</v>
      </c>
      <c r="I699" s="22" t="s">
        <v>3674</v>
      </c>
      <c r="J699" s="5" t="str">
        <f ca="1">IFERROR(__xludf.DUMMYFUNCTION("GOOGLETRANSLATE(G699,""ar"",""en"")"),"The essence")</f>
        <v>The essence</v>
      </c>
      <c r="K699" s="5">
        <v>535463639</v>
      </c>
      <c r="L699" s="5"/>
      <c r="M699" s="5" t="str">
        <f ca="1">IFERROR(__xludf.DUMMYFUNCTION("GOOGLETRANSLATE(J699,""ar"",""en"")"),"#VALUE!")</f>
        <v>#VALUE!</v>
      </c>
      <c r="N699" s="6" t="s">
        <v>2905</v>
      </c>
      <c r="O699" s="10" t="s">
        <v>2906</v>
      </c>
    </row>
    <row r="700" spans="1:15" ht="20.100000000000001" customHeight="1" thickTop="1" thickBot="1">
      <c r="A700" s="1"/>
      <c r="B700" s="22">
        <v>699</v>
      </c>
      <c r="C700" s="22" t="s">
        <v>2907</v>
      </c>
      <c r="D700" s="22" t="s">
        <v>13</v>
      </c>
      <c r="E700" s="23" t="s">
        <v>2908</v>
      </c>
      <c r="F700" s="22" t="str">
        <f ca="1">IFERROR(__xludf.DUMMYFUNCTION("GOOGLETRANSLATE(E700,""ar"",""en"")"),"World of Good Tidings")</f>
        <v>World of Good Tidings</v>
      </c>
      <c r="G700" s="22" t="s">
        <v>2756</v>
      </c>
      <c r="H700" s="24" t="s">
        <v>3593</v>
      </c>
      <c r="I700" s="23" t="s">
        <v>2913</v>
      </c>
      <c r="J700" s="5" t="str">
        <f ca="1">IFERROR(__xludf.DUMMYFUNCTION("GOOGLETRANSLATE(G700,""ar"",""en"")"),"Cordoba neighborhood")</f>
        <v>Cordoba neighborhood</v>
      </c>
      <c r="K700" s="11"/>
      <c r="L700" s="11"/>
      <c r="M700" s="5" t="str">
        <f ca="1">IFERROR(__xludf.DUMMYFUNCTION("GOOGLETRANSLATE(J700,""ar"",""en"")"),"#VALUE!")</f>
        <v>#VALUE!</v>
      </c>
      <c r="N700" s="12" t="s">
        <v>2909</v>
      </c>
      <c r="O700" s="10" t="s">
        <v>2910</v>
      </c>
    </row>
    <row r="701" spans="1:15" ht="20.100000000000001" customHeight="1" thickTop="1" thickBot="1">
      <c r="A701" s="1"/>
      <c r="B701" s="22">
        <v>700</v>
      </c>
      <c r="C701" s="22" t="s">
        <v>2911</v>
      </c>
      <c r="D701" s="22" t="s">
        <v>13</v>
      </c>
      <c r="E701" s="22" t="s">
        <v>2912</v>
      </c>
      <c r="F701" s="22" t="str">
        <f ca="1">IFERROR(__xludf.DUMMYFUNCTION("GOOGLETRANSLATE(E701,""ar"",""en"")"),"Ahmed Mansour Supplies")</f>
        <v>Ahmed Mansour Supplies</v>
      </c>
      <c r="G701" s="22" t="s">
        <v>2756</v>
      </c>
      <c r="H701" s="24" t="s">
        <v>3593</v>
      </c>
      <c r="I701" s="23" t="s">
        <v>2913</v>
      </c>
      <c r="J701" s="5" t="str">
        <f ca="1">IFERROR(__xludf.DUMMYFUNCTION("GOOGLETRANSLATE(G701,""ar"",""en"")"),"Cordoba neighborhood")</f>
        <v>Cordoba neighborhood</v>
      </c>
      <c r="K701" s="5">
        <v>530894029</v>
      </c>
      <c r="L701" s="5" t="s">
        <v>2914</v>
      </c>
      <c r="M701" s="5" t="str">
        <f ca="1">IFERROR(__xludf.DUMMYFUNCTION("GOOGLETRANSLATE(J701,""ar"",""en"")"),"Ajyad")</f>
        <v>Ajyad</v>
      </c>
      <c r="N701" s="6" t="s">
        <v>2915</v>
      </c>
      <c r="O701" s="10" t="s">
        <v>2916</v>
      </c>
    </row>
    <row r="702" spans="1:15" ht="20.100000000000001" customHeight="1" thickTop="1" thickBot="1">
      <c r="A702" s="1"/>
      <c r="B702" s="22">
        <v>701</v>
      </c>
      <c r="C702" s="22" t="s">
        <v>2917</v>
      </c>
      <c r="D702" s="22" t="s">
        <v>13</v>
      </c>
      <c r="E702" s="23" t="s">
        <v>2918</v>
      </c>
      <c r="F702" s="22" t="str">
        <f ca="1">IFERROR(__xludf.DUMMYFUNCTION("GOOGLETRANSLATE(E702,""ar"",""en"")"),"Warba Corner for Catering")</f>
        <v>Warba Corner for Catering</v>
      </c>
      <c r="G702" s="22" t="s">
        <v>2756</v>
      </c>
      <c r="H702" s="24" t="s">
        <v>3593</v>
      </c>
      <c r="I702" s="23" t="s">
        <v>2913</v>
      </c>
      <c r="J702" s="5" t="str">
        <f ca="1">IFERROR(__xludf.DUMMYFUNCTION("GOOGLETRANSLATE(G702,""ar"",""en"")"),"Cordoba neighborhood")</f>
        <v>Cordoba neighborhood</v>
      </c>
      <c r="K702" s="11">
        <v>557456080</v>
      </c>
      <c r="L702" s="11" t="s">
        <v>175</v>
      </c>
      <c r="M702" s="5" t="str">
        <f ca="1">IFERROR(__xludf.DUMMYFUNCTION("GOOGLETRANSLATE(J702,""ar"",""en"")"),"Abdullah")</f>
        <v>Abdullah</v>
      </c>
      <c r="N702" s="12" t="s">
        <v>2919</v>
      </c>
      <c r="O702" s="10" t="s">
        <v>2920</v>
      </c>
    </row>
    <row r="703" spans="1:15" ht="20.100000000000001" customHeight="1" thickTop="1" thickBot="1">
      <c r="A703" s="1"/>
      <c r="B703" s="22">
        <v>702</v>
      </c>
      <c r="C703" s="22" t="s">
        <v>2921</v>
      </c>
      <c r="D703" s="22" t="s">
        <v>13</v>
      </c>
      <c r="E703" s="22" t="s">
        <v>2922</v>
      </c>
      <c r="F703" s="22" t="str">
        <f ca="1">IFERROR(__xludf.DUMMYFUNCTION("GOOGLETRANSLATE(E703,""ar"",""en"")"),"Abdullah Mohammed Al-Ghamdi Foundation")</f>
        <v>Abdullah Mohammed Al-Ghamdi Foundation</v>
      </c>
      <c r="G703" s="22" t="s">
        <v>2756</v>
      </c>
      <c r="H703" s="24" t="s">
        <v>3593</v>
      </c>
      <c r="I703" s="23" t="s">
        <v>2913</v>
      </c>
      <c r="J703" s="5" t="str">
        <f ca="1">IFERROR(__xludf.DUMMYFUNCTION("GOOGLETRANSLATE(G703,""ar"",""en"")"),"Cordoba")</f>
        <v>Cordoba</v>
      </c>
      <c r="K703" s="5">
        <v>560927991</v>
      </c>
      <c r="L703" s="5" t="s">
        <v>229</v>
      </c>
      <c r="M703" s="5" t="str">
        <f ca="1">IFERROR(__xludf.DUMMYFUNCTION("GOOGLETRANSLATE(J703,""ar"",""en"")"),"Abdul Qadir")</f>
        <v>Abdul Qadir</v>
      </c>
      <c r="N703" s="6" t="s">
        <v>2923</v>
      </c>
      <c r="O703" s="10" t="s">
        <v>2924</v>
      </c>
    </row>
    <row r="704" spans="1:15" ht="20.100000000000001" customHeight="1" thickTop="1" thickBot="1">
      <c r="A704" s="1"/>
      <c r="B704" s="22">
        <v>703</v>
      </c>
      <c r="C704" s="22" t="s">
        <v>2925</v>
      </c>
      <c r="D704" s="22" t="s">
        <v>13</v>
      </c>
      <c r="E704" s="23" t="s">
        <v>2926</v>
      </c>
      <c r="F704" s="22" t="str">
        <f ca="1">IFERROR(__xludf.DUMMYFUNCTION("GOOGLETRANSLATE(E704,""ar"",""en"")"),"Najoum Hala Markets")</f>
        <v>Najoum Hala Markets</v>
      </c>
      <c r="G704" s="22" t="s">
        <v>2756</v>
      </c>
      <c r="H704" s="24" t="s">
        <v>3593</v>
      </c>
      <c r="I704" s="23" t="s">
        <v>2913</v>
      </c>
      <c r="J704" s="5" t="str">
        <f ca="1">IFERROR(__xludf.DUMMYFUNCTION("GOOGLETRANSLATE(G704,""ar"",""en"")"),"Cordoba")</f>
        <v>Cordoba</v>
      </c>
      <c r="K704" s="11">
        <v>559301107</v>
      </c>
      <c r="L704" s="11"/>
      <c r="M704" s="5" t="str">
        <f ca="1">IFERROR(__xludf.DUMMYFUNCTION("GOOGLETRANSLATE(J704,""ar"",""en"")"),"#VALUE!")</f>
        <v>#VALUE!</v>
      </c>
      <c r="N704" s="12" t="s">
        <v>2927</v>
      </c>
      <c r="O704" s="10" t="s">
        <v>2928</v>
      </c>
    </row>
    <row r="705" spans="1:15" ht="20.100000000000001" customHeight="1" thickTop="1" thickBot="1">
      <c r="A705" s="1"/>
      <c r="B705" s="22">
        <v>704</v>
      </c>
      <c r="C705" s="22" t="s">
        <v>2929</v>
      </c>
      <c r="D705" s="22" t="s">
        <v>13</v>
      </c>
      <c r="E705" s="22" t="s">
        <v>2930</v>
      </c>
      <c r="F705" s="22" t="str">
        <f ca="1">IFERROR(__xludf.DUMMYFUNCTION("GOOGLETRANSLATE(E705,""ar"",""en"")"),"Doha Central Consumer Markets")</f>
        <v>Doha Central Consumer Markets</v>
      </c>
      <c r="G705" s="22" t="s">
        <v>2756</v>
      </c>
      <c r="H705" s="24" t="s">
        <v>3593</v>
      </c>
      <c r="I705" s="22" t="s">
        <v>3701</v>
      </c>
      <c r="J705" s="5" t="str">
        <f ca="1">IFERROR(__xludf.DUMMYFUNCTION("GOOGLETRANSLATE(G705,""ar"",""en"")"),"Doha")</f>
        <v>Doha</v>
      </c>
      <c r="K705" s="5"/>
      <c r="L705" s="5" t="s">
        <v>2931</v>
      </c>
      <c r="M705" s="5" t="str">
        <f ca="1">IFERROR(__xludf.DUMMYFUNCTION("GOOGLETRANSLATE(J705,""ar"",""en"")"),"R again at another time")</f>
        <v>R again at another time</v>
      </c>
      <c r="N705" s="6" t="s">
        <v>2932</v>
      </c>
      <c r="O705" s="10" t="s">
        <v>2933</v>
      </c>
    </row>
    <row r="706" spans="1:15" ht="20.100000000000001" customHeight="1" thickTop="1" thickBot="1">
      <c r="A706" s="1"/>
      <c r="B706" s="22">
        <v>705</v>
      </c>
      <c r="C706" s="22" t="s">
        <v>2934</v>
      </c>
      <c r="D706" s="22" t="s">
        <v>13</v>
      </c>
      <c r="E706" s="23" t="s">
        <v>343</v>
      </c>
      <c r="F706" s="22" t="str">
        <f ca="1">IFERROR(__xludf.DUMMYFUNCTION("GOOGLETRANSLATE(E706,""ar"",""en"")"),"Mazaya Supplies")</f>
        <v>Mazaya Supplies</v>
      </c>
      <c r="G706" s="22" t="s">
        <v>2756</v>
      </c>
      <c r="H706" s="24" t="s">
        <v>3593</v>
      </c>
      <c r="I706" s="22" t="s">
        <v>3701</v>
      </c>
      <c r="J706" s="5" t="str">
        <f ca="1">IFERROR(__xludf.DUMMYFUNCTION("GOOGLETRANSLATE(G706,""ar"",""en"")"),"Doha")</f>
        <v>Doha</v>
      </c>
      <c r="K706" s="11"/>
      <c r="L706" s="11"/>
      <c r="M706" s="5" t="str">
        <f ca="1">IFERROR(__xludf.DUMMYFUNCTION("GOOGLETRANSLATE(J706,""ar"",""en"")"),"#VALUE!")</f>
        <v>#VALUE!</v>
      </c>
      <c r="N706" s="12" t="s">
        <v>2935</v>
      </c>
      <c r="O706" s="10" t="s">
        <v>2936</v>
      </c>
    </row>
    <row r="707" spans="1:15" ht="20.100000000000001" customHeight="1" thickTop="1" thickBot="1">
      <c r="A707" s="1"/>
      <c r="B707" s="22">
        <v>706</v>
      </c>
      <c r="C707" s="22" t="s">
        <v>2937</v>
      </c>
      <c r="D707" s="22" t="s">
        <v>13</v>
      </c>
      <c r="E707" s="22" t="s">
        <v>2938</v>
      </c>
      <c r="F707" s="22" t="str">
        <f ca="1">IFERROR(__xludf.DUMMYFUNCTION("GOOGLETRANSLATE(E707,""ar"",""en"")"),"Grocery store, leading means")</f>
        <v>Grocery store, leading means</v>
      </c>
      <c r="G707" s="22" t="s">
        <v>2756</v>
      </c>
      <c r="H707" s="24" t="s">
        <v>3593</v>
      </c>
      <c r="I707" s="22" t="s">
        <v>3701</v>
      </c>
      <c r="J707" s="5" t="str">
        <f ca="1">IFERROR(__xludf.DUMMYFUNCTION("GOOGLETRANSLATE(G707,""ar"",""en"")"),"Doha")</f>
        <v>Doha</v>
      </c>
      <c r="K707" s="5"/>
      <c r="L707" s="5"/>
      <c r="M707" s="5" t="str">
        <f ca="1">IFERROR(__xludf.DUMMYFUNCTION("GOOGLETRANSLATE(J707,""ar"",""en"")"),"#VALUE!")</f>
        <v>#VALUE!</v>
      </c>
      <c r="N707" s="6" t="s">
        <v>2939</v>
      </c>
      <c r="O707" s="10" t="s">
        <v>2940</v>
      </c>
    </row>
    <row r="708" spans="1:15" ht="20.100000000000001" customHeight="1" thickTop="1" thickBot="1">
      <c r="A708" s="1"/>
      <c r="B708" s="22">
        <v>707</v>
      </c>
      <c r="C708" s="22" t="s">
        <v>2941</v>
      </c>
      <c r="D708" s="22" t="s">
        <v>13</v>
      </c>
      <c r="E708" s="23" t="s">
        <v>2942</v>
      </c>
      <c r="F708" s="22" t="str">
        <f ca="1">IFERROR(__xludf.DUMMYFUNCTION("GOOGLETRANSLATE(E708,""ar"",""en"")"),"Al-Habil")</f>
        <v>Al-Habil</v>
      </c>
      <c r="G708" s="22" t="s">
        <v>2756</v>
      </c>
      <c r="H708" s="24" t="s">
        <v>3593</v>
      </c>
      <c r="I708" s="22" t="s">
        <v>3701</v>
      </c>
      <c r="J708" s="5" t="str">
        <f ca="1">IFERROR(__xludf.DUMMYFUNCTION("GOOGLETRANSLATE(G708,""ar"",""en"")"),"South Doha")</f>
        <v>South Doha</v>
      </c>
      <c r="K708" s="11">
        <v>552422872</v>
      </c>
      <c r="L708" s="11"/>
      <c r="M708" s="5" t="str">
        <f ca="1">IFERROR(__xludf.DUMMYFUNCTION("GOOGLETRANSLATE(J708,""ar"",""en"")"),"#VALUE!")</f>
        <v>#VALUE!</v>
      </c>
      <c r="N708" s="12" t="s">
        <v>2943</v>
      </c>
      <c r="O708" s="10" t="s">
        <v>2944</v>
      </c>
    </row>
    <row r="709" spans="1:15" ht="20.100000000000001" customHeight="1" thickTop="1" thickBot="1">
      <c r="A709" s="1"/>
      <c r="B709" s="22">
        <v>708</v>
      </c>
      <c r="C709" s="22" t="s">
        <v>2945</v>
      </c>
      <c r="D709" s="22" t="s">
        <v>13</v>
      </c>
      <c r="E709" s="22" t="s">
        <v>2946</v>
      </c>
      <c r="F709" s="22" t="str">
        <f ca="1">IFERROR(__xludf.DUMMYFUNCTION("GOOGLETRANSLATE(E709,""ar"",""en"")"),"Daytime markets")</f>
        <v>Daytime markets</v>
      </c>
      <c r="G709" s="22" t="s">
        <v>2756</v>
      </c>
      <c r="H709" s="24" t="s">
        <v>3593</v>
      </c>
      <c r="I709" s="22" t="s">
        <v>3701</v>
      </c>
      <c r="J709" s="5" t="str">
        <f ca="1">IFERROR(__xludf.DUMMYFUNCTION("GOOGLETRANSLATE(G709,""ar"",""en"")"),"South Doha")</f>
        <v>South Doha</v>
      </c>
      <c r="K709" s="5"/>
      <c r="L709" s="5"/>
      <c r="M709" s="5" t="str">
        <f ca="1">IFERROR(__xludf.DUMMYFUNCTION("GOOGLETRANSLATE(J709,""ar"",""en"")"),"#VALUE!")</f>
        <v>#VALUE!</v>
      </c>
      <c r="N709" s="6" t="s">
        <v>2947</v>
      </c>
      <c r="O709" s="10" t="s">
        <v>2948</v>
      </c>
    </row>
    <row r="710" spans="1:15" ht="20.100000000000001" customHeight="1" thickTop="1" thickBot="1">
      <c r="A710" s="1"/>
      <c r="B710" s="22">
        <v>709</v>
      </c>
      <c r="C710" s="22" t="s">
        <v>2949</v>
      </c>
      <c r="D710" s="22" t="s">
        <v>13</v>
      </c>
      <c r="E710" s="23" t="s">
        <v>3691</v>
      </c>
      <c r="F710" s="22" t="str">
        <f ca="1">IFERROR(__xludf.DUMMYFUNCTION("GOOGLETRANSLATE(E710,""ar"",""en"")"),"product")</f>
        <v>product</v>
      </c>
      <c r="G710" s="22" t="s">
        <v>2756</v>
      </c>
      <c r="H710" s="24" t="s">
        <v>3593</v>
      </c>
      <c r="I710" s="22" t="s">
        <v>3701</v>
      </c>
      <c r="J710" s="5" t="str">
        <f ca="1">IFERROR(__xludf.DUMMYFUNCTION("GOOGLETRANSLATE(G710,""ar"",""en"")"),"South Doha")</f>
        <v>South Doha</v>
      </c>
      <c r="K710" s="11">
        <v>531166905</v>
      </c>
      <c r="L710" s="11" t="s">
        <v>2950</v>
      </c>
      <c r="M710" s="5" t="str">
        <f ca="1">IFERROR(__xludf.DUMMYFUNCTION("GOOGLETRANSLATE(J710,""ar"",""en"")"),"believer")</f>
        <v>believer</v>
      </c>
      <c r="N710" s="12" t="s">
        <v>2951</v>
      </c>
      <c r="O710" s="10" t="s">
        <v>2952</v>
      </c>
    </row>
    <row r="711" spans="1:15" ht="20.100000000000001" customHeight="1" thickTop="1" thickBot="1">
      <c r="A711" s="1"/>
      <c r="B711" s="22">
        <v>710</v>
      </c>
      <c r="C711" s="22" t="s">
        <v>2953</v>
      </c>
      <c r="D711" s="22" t="s">
        <v>13</v>
      </c>
      <c r="E711" s="22" t="s">
        <v>2954</v>
      </c>
      <c r="F711" s="22" t="str">
        <f ca="1">IFERROR(__xludf.DUMMYFUNCTION("GOOGLETRANSLATE(E711,""ar"",""en"")"),"Al-Manih Grocery")</f>
        <v>Al-Manih Grocery</v>
      </c>
      <c r="G711" s="22" t="s">
        <v>2756</v>
      </c>
      <c r="H711" s="24" t="s">
        <v>3593</v>
      </c>
      <c r="I711" s="22" t="s">
        <v>3701</v>
      </c>
      <c r="J711" s="5" t="str">
        <f ca="1">IFERROR(__xludf.DUMMYFUNCTION("GOOGLETRANSLATE(G711,""ar"",""en"")"),"South Doha")</f>
        <v>South Doha</v>
      </c>
      <c r="K711" s="5">
        <v>510531239</v>
      </c>
      <c r="L711" s="5"/>
      <c r="M711" s="5" t="str">
        <f ca="1">IFERROR(__xludf.DUMMYFUNCTION("GOOGLETRANSLATE(J711,""ar"",""en"")"),"#VALUE!")</f>
        <v>#VALUE!</v>
      </c>
      <c r="N711" s="6" t="s">
        <v>2955</v>
      </c>
      <c r="O711" s="10" t="s">
        <v>2956</v>
      </c>
    </row>
    <row r="712" spans="1:15" ht="20.100000000000001" customHeight="1" thickTop="1" thickBot="1">
      <c r="A712" s="1"/>
      <c r="B712" s="22">
        <v>711</v>
      </c>
      <c r="C712" s="22" t="s">
        <v>2957</v>
      </c>
      <c r="D712" s="22" t="s">
        <v>13</v>
      </c>
      <c r="E712" s="23" t="s">
        <v>2958</v>
      </c>
      <c r="F712" s="22" t="str">
        <f ca="1">IFERROR(__xludf.DUMMYFUNCTION("GOOGLETRANSLATE(E712,""ar"",""en"")"),"Pearl of Doha Supermarkets")</f>
        <v>Pearl of Doha Supermarkets</v>
      </c>
      <c r="G712" s="22" t="s">
        <v>2756</v>
      </c>
      <c r="H712" s="24" t="s">
        <v>3593</v>
      </c>
      <c r="I712" s="22" t="s">
        <v>3701</v>
      </c>
      <c r="J712" s="5" t="str">
        <f ca="1">IFERROR(__xludf.DUMMYFUNCTION("GOOGLETRANSLATE(G712,""ar"",""en"")"),"South Doha")</f>
        <v>South Doha</v>
      </c>
      <c r="K712" s="11">
        <v>138919844</v>
      </c>
      <c r="L712" s="11"/>
      <c r="M712" s="5" t="str">
        <f ca="1">IFERROR(__xludf.DUMMYFUNCTION("GOOGLETRANSLATE(J712,""ar"",""en"")"),"#VALUE!")</f>
        <v>#VALUE!</v>
      </c>
      <c r="N712" s="12" t="s">
        <v>2959</v>
      </c>
      <c r="O712" s="10" t="s">
        <v>2960</v>
      </c>
    </row>
    <row r="713" spans="1:15" ht="20.100000000000001" customHeight="1" thickTop="1" thickBot="1">
      <c r="A713" s="1"/>
      <c r="B713" s="22">
        <v>712</v>
      </c>
      <c r="C713" s="22" t="s">
        <v>2961</v>
      </c>
      <c r="D713" s="22" t="s">
        <v>13</v>
      </c>
      <c r="E713" s="22" t="s">
        <v>2962</v>
      </c>
      <c r="F713" s="22" t="str">
        <f ca="1">IFERROR(__xludf.DUMMYFUNCTION("GOOGLETRANSLATE(E713,""ar"",""en"")"),"The art of speed alone")</f>
        <v>The art of speed alone</v>
      </c>
      <c r="G713" s="22" t="s">
        <v>2756</v>
      </c>
      <c r="H713" s="24" t="s">
        <v>3593</v>
      </c>
      <c r="I713" s="22" t="s">
        <v>3701</v>
      </c>
      <c r="J713" s="5" t="str">
        <f ca="1">IFERROR(__xludf.DUMMYFUNCTION("GOOGLETRANSLATE(G713,""ar"",""en"")"),"South Doha")</f>
        <v>South Doha</v>
      </c>
      <c r="K713" s="5">
        <v>592469675</v>
      </c>
      <c r="L713" s="5"/>
      <c r="M713" s="5" t="str">
        <f ca="1">IFERROR(__xludf.DUMMYFUNCTION("GOOGLETRANSLATE(J713,""ar"",""en"")"),"#VALUE!")</f>
        <v>#VALUE!</v>
      </c>
      <c r="N713" s="6" t="s">
        <v>2963</v>
      </c>
      <c r="O713" s="10" t="s">
        <v>2964</v>
      </c>
    </row>
    <row r="714" spans="1:15" ht="20.100000000000001" customHeight="1" thickTop="1" thickBot="1">
      <c r="A714" s="1"/>
      <c r="B714" s="22">
        <v>713</v>
      </c>
      <c r="C714" s="22" t="s">
        <v>2965</v>
      </c>
      <c r="D714" s="22" t="s">
        <v>13</v>
      </c>
      <c r="E714" s="23" t="s">
        <v>2966</v>
      </c>
      <c r="F714" s="22" t="str">
        <f ca="1">IFERROR(__xludf.DUMMYFUNCTION("GOOGLETRANSLATE(E714,""ar"",""en"")"),"Al Dana Technology Center")</f>
        <v>Al Dana Technology Center</v>
      </c>
      <c r="G714" s="22" t="s">
        <v>2756</v>
      </c>
      <c r="H714" s="24" t="s">
        <v>3593</v>
      </c>
      <c r="I714" s="22" t="s">
        <v>3701</v>
      </c>
      <c r="J714" s="5" t="str">
        <f ca="1">IFERROR(__xludf.DUMMYFUNCTION("GOOGLETRANSLATE(G714,""ar"",""en"")"),"North Doha")</f>
        <v>North Doha</v>
      </c>
      <c r="K714" s="11">
        <v>501966372</v>
      </c>
      <c r="L714" s="11"/>
      <c r="M714" s="5" t="str">
        <f ca="1">IFERROR(__xludf.DUMMYFUNCTION("GOOGLETRANSLATE(J714,""ar"",""en"")"),"#VALUE!")</f>
        <v>#VALUE!</v>
      </c>
      <c r="N714" s="12" t="s">
        <v>2967</v>
      </c>
      <c r="O714" s="10" t="s">
        <v>2968</v>
      </c>
    </row>
    <row r="715" spans="1:15" ht="20.100000000000001" customHeight="1" thickTop="1" thickBot="1">
      <c r="A715" s="1"/>
      <c r="B715" s="22">
        <v>714</v>
      </c>
      <c r="C715" s="22" t="s">
        <v>2969</v>
      </c>
      <c r="D715" s="22" t="s">
        <v>13</v>
      </c>
      <c r="E715" s="22" t="s">
        <v>2970</v>
      </c>
      <c r="F715" s="22" t="str">
        <f ca="1">IFERROR(__xludf.DUMMYFUNCTION("GOOGLETRANSLATE(E715,""ar"",""en"")"),"Half Sun Grocery")</f>
        <v>Half Sun Grocery</v>
      </c>
      <c r="G715" s="22" t="s">
        <v>2756</v>
      </c>
      <c r="H715" s="24" t="s">
        <v>3593</v>
      </c>
      <c r="I715" s="22" t="s">
        <v>3701</v>
      </c>
      <c r="J715" s="5" t="str">
        <f ca="1">IFERROR(__xludf.DUMMYFUNCTION("GOOGLETRANSLATE(G715,""ar"",""en"")"),"North Doha")</f>
        <v>North Doha</v>
      </c>
      <c r="K715" s="5">
        <v>573288690</v>
      </c>
      <c r="L715" s="5" t="s">
        <v>2971</v>
      </c>
      <c r="M715" s="5" t="str">
        <f ca="1">IFERROR(__xludf.DUMMYFUNCTION("GOOGLETRANSLATE(J715,""ar"",""en"")"),"Iqbal")</f>
        <v>Iqbal</v>
      </c>
      <c r="N715" s="6" t="s">
        <v>2972</v>
      </c>
      <c r="O715" s="10" t="s">
        <v>2973</v>
      </c>
    </row>
    <row r="716" spans="1:15" ht="20.100000000000001" customHeight="1" thickTop="1" thickBot="1">
      <c r="A716" s="1"/>
      <c r="B716" s="22">
        <v>715</v>
      </c>
      <c r="C716" s="22" t="s">
        <v>2974</v>
      </c>
      <c r="D716" s="22" t="s">
        <v>13</v>
      </c>
      <c r="E716" s="23" t="s">
        <v>2975</v>
      </c>
      <c r="F716" s="22" t="str">
        <f ca="1">IFERROR(__xludf.DUMMYFUNCTION("GOOGLETRANSLATE(E716,""ar"",""en"")"),"Good supplies, one")</f>
        <v>Good supplies, one</v>
      </c>
      <c r="G716" s="22" t="s">
        <v>2756</v>
      </c>
      <c r="H716" s="24" t="s">
        <v>3593</v>
      </c>
      <c r="I716" s="22" t="s">
        <v>3701</v>
      </c>
      <c r="J716" s="5" t="str">
        <f ca="1">IFERROR(__xludf.DUMMYFUNCTION("GOOGLETRANSLATE(G716,""ar"",""en"")"),"North Doha")</f>
        <v>North Doha</v>
      </c>
      <c r="K716" s="11">
        <v>573363985</v>
      </c>
      <c r="L716" s="11"/>
      <c r="M716" s="5" t="str">
        <f ca="1">IFERROR(__xludf.DUMMYFUNCTION("GOOGLETRANSLATE(J716,""ar"",""en"")"),"#VALUE!")</f>
        <v>#VALUE!</v>
      </c>
      <c r="N716" s="12" t="s">
        <v>2976</v>
      </c>
      <c r="O716" s="10" t="s">
        <v>2977</v>
      </c>
    </row>
    <row r="717" spans="1:15" ht="20.100000000000001" customHeight="1" thickTop="1" thickBot="1">
      <c r="A717" s="1"/>
      <c r="B717" s="22">
        <v>716</v>
      </c>
      <c r="C717" s="22" t="s">
        <v>2978</v>
      </c>
      <c r="D717" s="22" t="s">
        <v>13</v>
      </c>
      <c r="E717" s="22" t="s">
        <v>2979</v>
      </c>
      <c r="F717" s="22" t="str">
        <f ca="1">IFERROR(__xludf.DUMMYFUNCTION("GOOGLETRANSLATE(E717,""ar"",""en"")"),"Last Minute Grocery")</f>
        <v>Last Minute Grocery</v>
      </c>
      <c r="G717" s="22" t="s">
        <v>2756</v>
      </c>
      <c r="H717" s="24" t="s">
        <v>3593</v>
      </c>
      <c r="I717" s="22" t="s">
        <v>3701</v>
      </c>
      <c r="J717" s="5" t="str">
        <f ca="1">IFERROR(__xludf.DUMMYFUNCTION("GOOGLETRANSLATE(G717,""ar"",""en"")"),"North Doha")</f>
        <v>North Doha</v>
      </c>
      <c r="K717" s="5">
        <v>571416628</v>
      </c>
      <c r="L717" s="5" t="s">
        <v>294</v>
      </c>
      <c r="M717" s="5" t="str">
        <f ca="1">IFERROR(__xludf.DUMMYFUNCTION("GOOGLETRANSLATE(J717,""ar"",""en"")"),"Mohammed")</f>
        <v>Mohammed</v>
      </c>
      <c r="N717" s="6" t="s">
        <v>2980</v>
      </c>
      <c r="O717" s="10" t="s">
        <v>2981</v>
      </c>
    </row>
    <row r="718" spans="1:15" ht="20.100000000000001" customHeight="1" thickTop="1" thickBot="1">
      <c r="A718" s="1"/>
      <c r="B718" s="22">
        <v>717</v>
      </c>
      <c r="C718" s="22" t="s">
        <v>2982</v>
      </c>
      <c r="D718" s="22" t="s">
        <v>13</v>
      </c>
      <c r="E718" s="23" t="s">
        <v>2983</v>
      </c>
      <c r="F718" s="22" t="str">
        <f ca="1">IFERROR(__xludf.DUMMYFUNCTION("GOOGLETRANSLATE(E718,""ar"",""en"")"),"Jawharat Al-Khair Grocery")</f>
        <v>Jawharat Al-Khair Grocery</v>
      </c>
      <c r="G718" s="22" t="s">
        <v>2756</v>
      </c>
      <c r="H718" s="24" t="s">
        <v>3593</v>
      </c>
      <c r="I718" s="22" t="s">
        <v>3701</v>
      </c>
      <c r="J718" s="5" t="str">
        <f ca="1">IFERROR(__xludf.DUMMYFUNCTION("GOOGLETRANSLATE(G718,""ar"",""en"")"),"North Doha")</f>
        <v>North Doha</v>
      </c>
      <c r="K718" s="11">
        <v>535470216</v>
      </c>
      <c r="L718" s="11" t="s">
        <v>175</v>
      </c>
      <c r="M718" s="5" t="str">
        <f ca="1">IFERROR(__xludf.DUMMYFUNCTION("GOOGLETRANSLATE(J718,""ar"",""en"")"),"Abdullah")</f>
        <v>Abdullah</v>
      </c>
      <c r="N718" s="12" t="s">
        <v>2984</v>
      </c>
      <c r="O718" s="10" t="s">
        <v>2985</v>
      </c>
    </row>
    <row r="719" spans="1:15" ht="20.100000000000001" customHeight="1" thickTop="1" thickBot="1">
      <c r="A719" s="1"/>
      <c r="B719" s="22">
        <v>718</v>
      </c>
      <c r="C719" s="22" t="s">
        <v>2986</v>
      </c>
      <c r="D719" s="22" t="s">
        <v>13</v>
      </c>
      <c r="E719" s="22" t="s">
        <v>2987</v>
      </c>
      <c r="F719" s="22" t="str">
        <f ca="1">IFERROR(__xludf.DUMMYFUNCTION("GOOGLETRANSLATE(E719,""ar"",""en"")"),"Arwa Al-Sayari Markets")</f>
        <v>Arwa Al-Sayari Markets</v>
      </c>
      <c r="G719" s="22" t="s">
        <v>2756</v>
      </c>
      <c r="H719" s="24" t="s">
        <v>3593</v>
      </c>
      <c r="I719" s="22" t="s">
        <v>3675</v>
      </c>
      <c r="J719" s="5" t="str">
        <f ca="1">IFERROR(__xludf.DUMMYFUNCTION("GOOGLETRANSLATE(G719,""ar"",""en"")"),"Palaces")</f>
        <v>Palaces</v>
      </c>
      <c r="K719" s="5">
        <v>501446154</v>
      </c>
      <c r="L719" s="5"/>
      <c r="M719" s="5" t="str">
        <f ca="1">IFERROR(__xludf.DUMMYFUNCTION("GOOGLETRANSLATE(J719,""ar"",""en"")"),"#VALUE!")</f>
        <v>#VALUE!</v>
      </c>
      <c r="N719" s="6" t="s">
        <v>2988</v>
      </c>
      <c r="O719" s="10" t="s">
        <v>2989</v>
      </c>
    </row>
    <row r="720" spans="1:15" ht="20.100000000000001" customHeight="1" thickTop="1" thickBot="1">
      <c r="A720" s="1"/>
      <c r="B720" s="22">
        <v>719</v>
      </c>
      <c r="C720" s="22" t="s">
        <v>2990</v>
      </c>
      <c r="D720" s="22" t="s">
        <v>13</v>
      </c>
      <c r="E720" s="23" t="s">
        <v>343</v>
      </c>
      <c r="F720" s="22" t="str">
        <f ca="1">IFERROR(__xludf.DUMMYFUNCTION("GOOGLETRANSLATE(E720,""ar"",""en"")"),"Mazaya Supplies")</f>
        <v>Mazaya Supplies</v>
      </c>
      <c r="G720" s="22" t="s">
        <v>2756</v>
      </c>
      <c r="H720" s="24" t="s">
        <v>3593</v>
      </c>
      <c r="I720" s="23" t="s">
        <v>2991</v>
      </c>
      <c r="J720" s="5" t="str">
        <f ca="1">IFERROR(__xludf.DUMMYFUNCTION("GOOGLETRANSLATE(G720,""ar"",""en"")"),"University District")</f>
        <v>University District</v>
      </c>
      <c r="K720" s="11"/>
      <c r="L720" s="11"/>
      <c r="M720" s="5" t="str">
        <f ca="1">IFERROR(__xludf.DUMMYFUNCTION("GOOGLETRANSLATE(J720,""ar"",""en"")"),"#VALUE!")</f>
        <v>#VALUE!</v>
      </c>
      <c r="N720" s="12" t="s">
        <v>2992</v>
      </c>
      <c r="O720" s="10" t="s">
        <v>2993</v>
      </c>
    </row>
    <row r="721" spans="1:15" ht="20.100000000000001" customHeight="1" thickTop="1" thickBot="1">
      <c r="A721" s="1"/>
      <c r="B721" s="22">
        <v>720</v>
      </c>
      <c r="C721" s="22" t="s">
        <v>2994</v>
      </c>
      <c r="D721" s="22" t="s">
        <v>13</v>
      </c>
      <c r="E721" s="22" t="s">
        <v>3698</v>
      </c>
      <c r="F721" s="22" t="str">
        <f ca="1">IFERROR(__xludf.DUMMYFUNCTION("GOOGLETRANSLATE(E721,""ar"",""en"")"),"Z Market - Al Dana Al Shamaliyah")</f>
        <v>Z Market - Al Dana Al Shamaliyah</v>
      </c>
      <c r="G721" s="22" t="s">
        <v>2756</v>
      </c>
      <c r="H721" s="24" t="s">
        <v>3593</v>
      </c>
      <c r="I721" s="22" t="s">
        <v>3692</v>
      </c>
      <c r="J721" s="5" t="str">
        <f ca="1">IFERROR(__xludf.DUMMYFUNCTION("GOOGLETRANSLATE(G721,""ar"",""en"")"),"Dana")</f>
        <v>Dana</v>
      </c>
      <c r="K721" s="5">
        <v>533692683</v>
      </c>
      <c r="L721" s="5" t="s">
        <v>2995</v>
      </c>
      <c r="M721" s="5" t="str">
        <f ca="1">IFERROR(__xludf.DUMMYFUNCTION("GOOGLETRANSLATE(J721,""ar"",""en"")"),"Abu Thamer")</f>
        <v>Abu Thamer</v>
      </c>
      <c r="N721" s="6" t="s">
        <v>2996</v>
      </c>
      <c r="O721" s="10" t="s">
        <v>2997</v>
      </c>
    </row>
    <row r="722" spans="1:15" ht="20.100000000000001" customHeight="1" thickTop="1" thickBot="1">
      <c r="A722" s="1"/>
      <c r="B722" s="22">
        <v>721</v>
      </c>
      <c r="C722" s="22" t="s">
        <v>2998</v>
      </c>
      <c r="D722" s="22" t="s">
        <v>13</v>
      </c>
      <c r="E722" s="23" t="s">
        <v>2999</v>
      </c>
      <c r="F722" s="22" t="str">
        <f ca="1">IFERROR(__xludf.DUMMYFUNCTION("GOOGLETRANSLATE(E722,""ar"",""en"")"),"Home savings groceries")</f>
        <v>Home savings groceries</v>
      </c>
      <c r="G722" s="22" t="s">
        <v>2756</v>
      </c>
      <c r="H722" s="24" t="s">
        <v>3593</v>
      </c>
      <c r="I722" s="23" t="s">
        <v>2991</v>
      </c>
      <c r="J722" s="5" t="str">
        <f ca="1">IFERROR(__xludf.DUMMYFUNCTION("GOOGLETRANSLATE(G722,""ar"",""en"")"),"University District")</f>
        <v>University District</v>
      </c>
      <c r="K722" s="11">
        <v>508594447</v>
      </c>
      <c r="L722" s="11"/>
      <c r="M722" s="5" t="str">
        <f ca="1">IFERROR(__xludf.DUMMYFUNCTION("GOOGLETRANSLATE(J722,""ar"",""en"")"),"#VALUE!")</f>
        <v>#VALUE!</v>
      </c>
      <c r="N722" s="12" t="s">
        <v>3000</v>
      </c>
      <c r="O722" s="10" t="s">
        <v>3001</v>
      </c>
    </row>
    <row r="723" spans="1:15" ht="20.100000000000001" customHeight="1" thickTop="1" thickBot="1">
      <c r="A723" s="1"/>
      <c r="B723" s="22">
        <v>722</v>
      </c>
      <c r="C723" s="22" t="s">
        <v>3002</v>
      </c>
      <c r="D723" s="22" t="s">
        <v>13</v>
      </c>
      <c r="E723" s="22" t="s">
        <v>3003</v>
      </c>
      <c r="F723" s="22" t="str">
        <f ca="1">IFERROR(__xludf.DUMMYFUNCTION("GOOGLETRANSLATE(E723,""ar"",""en"")"),"Aman Marketing Center")</f>
        <v>Aman Marketing Center</v>
      </c>
      <c r="G723" s="22" t="s">
        <v>2756</v>
      </c>
      <c r="H723" s="24" t="s">
        <v>3593</v>
      </c>
      <c r="I723" s="23" t="s">
        <v>2991</v>
      </c>
      <c r="J723" s="5" t="str">
        <f ca="1">IFERROR(__xludf.DUMMYFUNCTION("GOOGLETRANSLATE(G723,""ar"",""en"")"),"University District")</f>
        <v>University District</v>
      </c>
      <c r="K723" s="5"/>
      <c r="L723" s="5"/>
      <c r="M723" s="5" t="str">
        <f ca="1">IFERROR(__xludf.DUMMYFUNCTION("GOOGLETRANSLATE(J723,""ar"",""en"")"),"#VALUE!")</f>
        <v>#VALUE!</v>
      </c>
      <c r="N723" s="6" t="s">
        <v>3004</v>
      </c>
      <c r="O723" s="10" t="s">
        <v>3005</v>
      </c>
    </row>
    <row r="724" spans="1:15" ht="20.100000000000001" customHeight="1" thickTop="1" thickBot="1">
      <c r="A724" s="1"/>
      <c r="B724" s="22">
        <v>723</v>
      </c>
      <c r="C724" s="22" t="s">
        <v>3006</v>
      </c>
      <c r="D724" s="22" t="s">
        <v>13</v>
      </c>
      <c r="E724" s="23" t="s">
        <v>3007</v>
      </c>
      <c r="F724" s="22" t="str">
        <f ca="1">IFERROR(__xludf.DUMMYFUNCTION("GOOGLETRANSLATE(E724,""ar"",""en"")"),"University District Center")</f>
        <v>University District Center</v>
      </c>
      <c r="G724" s="22" t="s">
        <v>2756</v>
      </c>
      <c r="H724" s="24" t="s">
        <v>3593</v>
      </c>
      <c r="I724" s="23" t="s">
        <v>2991</v>
      </c>
      <c r="J724" s="5" t="str">
        <f ca="1">IFERROR(__xludf.DUMMYFUNCTION("GOOGLETRANSLATE(G724,""ar"",""en"")"),"University District")</f>
        <v>University District</v>
      </c>
      <c r="K724" s="11">
        <v>503567727</v>
      </c>
      <c r="L724" s="11" t="s">
        <v>1742</v>
      </c>
      <c r="M724" s="5" t="str">
        <f ca="1">IFERROR(__xludf.DUMMYFUNCTION("GOOGLETRANSLATE(J724,""ar"",""en"")"),"Kamal")</f>
        <v>Kamal</v>
      </c>
      <c r="N724" s="12" t="s">
        <v>3008</v>
      </c>
      <c r="O724" s="10" t="s">
        <v>3009</v>
      </c>
    </row>
    <row r="725" spans="1:15" ht="20.100000000000001" customHeight="1" thickTop="1" thickBot="1">
      <c r="A725" s="1"/>
      <c r="B725" s="22">
        <v>724</v>
      </c>
      <c r="C725" s="22" t="s">
        <v>3010</v>
      </c>
      <c r="D725" s="22" t="s">
        <v>13</v>
      </c>
      <c r="E725" s="22" t="s">
        <v>3011</v>
      </c>
      <c r="F725" s="22" t="str">
        <f ca="1">IFERROR(__xludf.DUMMYFUNCTION("GOOGLETRANSLATE(E725,""ar"",""en"")"),"Stars of Goodness")</f>
        <v>Stars of Goodness</v>
      </c>
      <c r="G725" s="22" t="s">
        <v>2756</v>
      </c>
      <c r="H725" s="24" t="s">
        <v>3593</v>
      </c>
      <c r="I725" s="23" t="s">
        <v>2991</v>
      </c>
      <c r="J725" s="5" t="str">
        <f ca="1">IFERROR(__xludf.DUMMYFUNCTION("GOOGLETRANSLATE(G725,""ar"",""en"")"),"University District")</f>
        <v>University District</v>
      </c>
      <c r="K725" s="5">
        <v>560442602</v>
      </c>
      <c r="L725" s="5"/>
      <c r="M725" s="5" t="str">
        <f ca="1">IFERROR(__xludf.DUMMYFUNCTION("GOOGLETRANSLATE(J725,""ar"",""en"")"),"#VALUE!")</f>
        <v>#VALUE!</v>
      </c>
      <c r="N725" s="6" t="s">
        <v>3012</v>
      </c>
      <c r="O725" s="10" t="s">
        <v>3013</v>
      </c>
    </row>
    <row r="726" spans="1:15" ht="20.100000000000001" customHeight="1" thickTop="1" thickBot="1">
      <c r="A726" s="1"/>
      <c r="B726" s="22">
        <v>725</v>
      </c>
      <c r="C726" s="22" t="s">
        <v>3014</v>
      </c>
      <c r="D726" s="22" t="s">
        <v>13</v>
      </c>
      <c r="E726" s="23" t="s">
        <v>3015</v>
      </c>
      <c r="F726" s="22" t="str">
        <f ca="1">IFERROR(__xludf.DUMMYFUNCTION("GOOGLETRANSLATE(E726,""ar"",""en"")"),"An'am Al-Zubair Foundation")</f>
        <v>An'am Al-Zubair Foundation</v>
      </c>
      <c r="G726" s="22" t="s">
        <v>3585</v>
      </c>
      <c r="H726" s="24" t="s">
        <v>3587</v>
      </c>
      <c r="I726" s="23" t="s">
        <v>3016</v>
      </c>
      <c r="J726" s="5" t="str">
        <f ca="1">IFERROR(__xludf.DUMMYFUNCTION("GOOGLETRANSLATE(G726,""ar"",""en"")"),"Hajar neighborhood")</f>
        <v>Hajar neighborhood</v>
      </c>
      <c r="K726" s="11">
        <v>506068493</v>
      </c>
      <c r="L726" s="11" t="s">
        <v>3017</v>
      </c>
      <c r="M726" s="5" t="str">
        <f ca="1">IFERROR(__xludf.DUMMYFUNCTION("GOOGLETRANSLATE(J726,""ar"",""en"")"),"Nazir")</f>
        <v>Nazir</v>
      </c>
      <c r="N726" s="12" t="s">
        <v>3018</v>
      </c>
      <c r="O726" s="10" t="s">
        <v>3019</v>
      </c>
    </row>
    <row r="727" spans="1:15" ht="20.100000000000001" customHeight="1" thickTop="1" thickBot="1">
      <c r="A727" s="1"/>
      <c r="B727" s="22">
        <v>726</v>
      </c>
      <c r="C727" s="22" t="s">
        <v>3020</v>
      </c>
      <c r="D727" s="22" t="s">
        <v>13</v>
      </c>
      <c r="E727" s="22" t="s">
        <v>3021</v>
      </c>
      <c r="F727" s="22" t="str">
        <f ca="1">IFERROR(__xludf.DUMMYFUNCTION("GOOGLETRANSLATE(E727,""ar"",""en"")"),"Food Provision Foundation")</f>
        <v>Food Provision Foundation</v>
      </c>
      <c r="G727" s="22" t="s">
        <v>3585</v>
      </c>
      <c r="H727" s="24" t="s">
        <v>3587</v>
      </c>
      <c r="I727" s="23" t="s">
        <v>3035</v>
      </c>
      <c r="J727" s="5" t="str">
        <f ca="1">IFERROR(__xludf.DUMMYFUNCTION("GOOGLETRANSLATE(G727,""ar"",""en"")"),"Al-Waha neighborhood")</f>
        <v>Al-Waha neighborhood</v>
      </c>
      <c r="K727" s="5">
        <v>506671606</v>
      </c>
      <c r="L727" s="5" t="s">
        <v>3022</v>
      </c>
      <c r="M727" s="5" t="str">
        <f ca="1">IFERROR(__xludf.DUMMYFUNCTION("GOOGLETRANSLATE(J727,""ar"",""en"")"),"thunder")</f>
        <v>thunder</v>
      </c>
      <c r="N727" s="6" t="s">
        <v>3023</v>
      </c>
      <c r="O727" s="10" t="s">
        <v>3024</v>
      </c>
    </row>
    <row r="728" spans="1:15" ht="20.100000000000001" customHeight="1" thickTop="1" thickBot="1">
      <c r="A728" s="1"/>
      <c r="B728" s="22">
        <v>727</v>
      </c>
      <c r="C728" s="22" t="s">
        <v>3025</v>
      </c>
      <c r="D728" s="22" t="s">
        <v>13</v>
      </c>
      <c r="E728" s="23" t="s">
        <v>3026</v>
      </c>
      <c r="F728" s="22" t="str">
        <f ca="1">IFERROR(__xludf.DUMMYFUNCTION("GOOGLETRANSLATE(E728,""ar"",""en"")"),"Mazoon Hajar Grocery")</f>
        <v>Mazoon Hajar Grocery</v>
      </c>
      <c r="G728" s="22" t="s">
        <v>3585</v>
      </c>
      <c r="H728" s="24" t="s">
        <v>3587</v>
      </c>
      <c r="I728" s="23" t="s">
        <v>3035</v>
      </c>
      <c r="J728" s="5" t="str">
        <f ca="1">IFERROR(__xludf.DUMMYFUNCTION("GOOGLETRANSLATE(G728,""ar"",""en"")"),"Al-Waha neighborhood")</f>
        <v>Al-Waha neighborhood</v>
      </c>
      <c r="K728" s="11"/>
      <c r="L728" s="11"/>
      <c r="M728" s="5" t="str">
        <f ca="1">IFERROR(__xludf.DUMMYFUNCTION("GOOGLETRANSLATE(J728,""ar"",""en"")"),"#VALUE!")</f>
        <v>#VALUE!</v>
      </c>
      <c r="N728" s="12" t="s">
        <v>3027</v>
      </c>
      <c r="O728" s="10" t="s">
        <v>3028</v>
      </c>
    </row>
    <row r="729" spans="1:15" ht="20.100000000000001" customHeight="1" thickTop="1" thickBot="1">
      <c r="A729" s="1"/>
      <c r="B729" s="22">
        <v>728</v>
      </c>
      <c r="C729" s="22" t="s">
        <v>3029</v>
      </c>
      <c r="D729" s="22" t="s">
        <v>13</v>
      </c>
      <c r="E729" s="22" t="s">
        <v>3030</v>
      </c>
      <c r="F729" s="22" t="str">
        <f ca="1">IFERROR(__xludf.DUMMYFUNCTION("GOOGLETRANSLATE(E729,""ar"",""en"")"),"Prosperity Statement Grocery")</f>
        <v>Prosperity Statement Grocery</v>
      </c>
      <c r="G729" s="22" t="s">
        <v>3585</v>
      </c>
      <c r="H729" s="24" t="s">
        <v>3587</v>
      </c>
      <c r="I729" s="23" t="s">
        <v>3035</v>
      </c>
      <c r="J729" s="5" t="str">
        <f ca="1">IFERROR(__xludf.DUMMYFUNCTION("GOOGLETRANSLATE(G729,""ar"",""en"")"),"Al-Waha neighborhood")</f>
        <v>Al-Waha neighborhood</v>
      </c>
      <c r="K729" s="5">
        <v>541083504</v>
      </c>
      <c r="L729" s="5" t="s">
        <v>294</v>
      </c>
      <c r="M729" s="5" t="str">
        <f ca="1">IFERROR(__xludf.DUMMYFUNCTION("GOOGLETRANSLATE(J729,""ar"",""en"")"),"Mohammed")</f>
        <v>Mohammed</v>
      </c>
      <c r="N729" s="6" t="s">
        <v>3031</v>
      </c>
      <c r="O729" s="10" t="s">
        <v>3032</v>
      </c>
    </row>
    <row r="730" spans="1:15" ht="20.100000000000001" customHeight="1" thickTop="1" thickBot="1">
      <c r="A730" s="1"/>
      <c r="B730" s="22">
        <v>729</v>
      </c>
      <c r="C730" s="22" t="s">
        <v>3033</v>
      </c>
      <c r="D730" s="22" t="s">
        <v>13</v>
      </c>
      <c r="E730" s="23" t="s">
        <v>3034</v>
      </c>
      <c r="F730" s="22" t="str">
        <f ca="1">IFERROR(__xludf.DUMMYFUNCTION("GOOGLETRANSLATE(E730,""ar"",""en"")"),"Success Baskets Catering")</f>
        <v>Success Baskets Catering</v>
      </c>
      <c r="G730" s="22" t="s">
        <v>3585</v>
      </c>
      <c r="H730" s="24" t="s">
        <v>3587</v>
      </c>
      <c r="I730" s="23" t="s">
        <v>3035</v>
      </c>
      <c r="J730" s="5" t="str">
        <f ca="1">IFERROR(__xludf.DUMMYFUNCTION("GOOGLETRANSLATE(G730,""ar"",""en"")"),"Al Waha neighborhood")</f>
        <v>Al Waha neighborhood</v>
      </c>
      <c r="K730" s="11">
        <v>572787085</v>
      </c>
      <c r="L730" s="11"/>
      <c r="M730" s="5" t="str">
        <f ca="1">IFERROR(__xludf.DUMMYFUNCTION("GOOGLETRANSLATE(J730,""ar"",""en"")"),"#VALUE!")</f>
        <v>#VALUE!</v>
      </c>
      <c r="N730" s="12" t="s">
        <v>3036</v>
      </c>
      <c r="O730" s="10" t="s">
        <v>3037</v>
      </c>
    </row>
    <row r="731" spans="1:15" ht="20.100000000000001" customHeight="1" thickTop="1" thickBot="1">
      <c r="A731" s="1"/>
      <c r="B731" s="22">
        <v>730</v>
      </c>
      <c r="C731" s="22" t="s">
        <v>3038</v>
      </c>
      <c r="D731" s="22" t="s">
        <v>13</v>
      </c>
      <c r="E731" s="22" t="s">
        <v>3039</v>
      </c>
      <c r="F731" s="22" t="str">
        <f ca="1">IFERROR(__xludf.DUMMYFUNCTION("GOOGLETRANSLATE(E731,""ar"",""en"")"),"3D Foundation")</f>
        <v>3D Foundation</v>
      </c>
      <c r="G731" s="22" t="s">
        <v>3585</v>
      </c>
      <c r="H731" s="24" t="s">
        <v>3587</v>
      </c>
      <c r="I731" s="23" t="s">
        <v>3035</v>
      </c>
      <c r="J731" s="5" t="str">
        <f ca="1">IFERROR(__xludf.DUMMYFUNCTION("GOOGLETRANSLATE(G731,""ar"",""en"")"),"Al-Waha neighborhood")</f>
        <v>Al-Waha neighborhood</v>
      </c>
      <c r="K731" s="5">
        <v>596525144</v>
      </c>
      <c r="L731" s="5" t="s">
        <v>3040</v>
      </c>
      <c r="M731" s="5" t="str">
        <f ca="1">IFERROR(__xludf.DUMMYFUNCTION("GOOGLETRANSLATE(J731,""ar"",""en"")"),"Delivery number")</f>
        <v>Delivery number</v>
      </c>
      <c r="N731" s="6" t="s">
        <v>3041</v>
      </c>
      <c r="O731" s="10" t="s">
        <v>3042</v>
      </c>
    </row>
    <row r="732" spans="1:15" ht="20.100000000000001" customHeight="1" thickTop="1" thickBot="1">
      <c r="A732" s="1"/>
      <c r="B732" s="22">
        <v>731</v>
      </c>
      <c r="C732" s="22" t="s">
        <v>3043</v>
      </c>
      <c r="D732" s="22" t="s">
        <v>13</v>
      </c>
      <c r="E732" s="23" t="s">
        <v>2044</v>
      </c>
      <c r="F732" s="22" t="str">
        <f ca="1">IFERROR(__xludf.DUMMYFUNCTION("GOOGLETRANSLATE(E732,""ar"",""en"")"),"Mila Markets")</f>
        <v>Mila Markets</v>
      </c>
      <c r="G732" s="22" t="s">
        <v>3585</v>
      </c>
      <c r="H732" s="24" t="s">
        <v>3587</v>
      </c>
      <c r="I732" s="23" t="s">
        <v>3077</v>
      </c>
      <c r="J732" s="5" t="str">
        <f ca="1">IFERROR(__xludf.DUMMYFUNCTION("GOOGLETRANSLATE(G732,""ar"",""en"")"),"Al-Sha'la neighborhood")</f>
        <v>Al-Sha'la neighborhood</v>
      </c>
      <c r="K732" s="11"/>
      <c r="L732" s="11"/>
      <c r="M732" s="5" t="str">
        <f ca="1">IFERROR(__xludf.DUMMYFUNCTION("GOOGLETRANSLATE(J732,""ar"",""en"")"),"#VALUE!")</f>
        <v>#VALUE!</v>
      </c>
      <c r="N732" s="12" t="s">
        <v>3044</v>
      </c>
      <c r="O732" s="10" t="s">
        <v>3045</v>
      </c>
    </row>
    <row r="733" spans="1:15" ht="20.100000000000001" customHeight="1" thickTop="1" thickBot="1">
      <c r="A733" s="1"/>
      <c r="B733" s="22">
        <v>732</v>
      </c>
      <c r="C733" s="22" t="s">
        <v>3046</v>
      </c>
      <c r="D733" s="22" t="s">
        <v>13</v>
      </c>
      <c r="E733" s="22" t="s">
        <v>3047</v>
      </c>
      <c r="F733" s="22" t="str">
        <f ca="1">IFERROR(__xludf.DUMMYFUNCTION("GOOGLETRANSLATE(E733,""ar"",""en"")"),"Dahma Supplies")</f>
        <v>Dahma Supplies</v>
      </c>
      <c r="G733" s="22" t="s">
        <v>3585</v>
      </c>
      <c r="H733" s="24" t="s">
        <v>3587</v>
      </c>
      <c r="I733" s="23" t="s">
        <v>3077</v>
      </c>
      <c r="J733" s="5" t="str">
        <f ca="1">IFERROR(__xludf.DUMMYFUNCTION("GOOGLETRANSLATE(G733,""ar"",""en"")"),"Al-Sha'la neighborhood")</f>
        <v>Al-Sha'la neighborhood</v>
      </c>
      <c r="K733" s="5">
        <v>537874271</v>
      </c>
      <c r="L733" s="5" t="s">
        <v>3048</v>
      </c>
      <c r="M733" s="5" t="str">
        <f ca="1">IFERROR(__xludf.DUMMYFUNCTION("GOOGLETRANSLATE(J733,""ar"",""en"")"),"Grocery number")</f>
        <v>Grocery number</v>
      </c>
      <c r="N733" s="6" t="s">
        <v>3049</v>
      </c>
      <c r="O733" s="10" t="s">
        <v>3050</v>
      </c>
    </row>
    <row r="734" spans="1:15" ht="20.100000000000001" customHeight="1" thickTop="1" thickBot="1">
      <c r="A734" s="1"/>
      <c r="B734" s="22">
        <v>733</v>
      </c>
      <c r="C734" s="22" t="s">
        <v>3051</v>
      </c>
      <c r="D734" s="22" t="s">
        <v>13</v>
      </c>
      <c r="E734" s="23" t="s">
        <v>3052</v>
      </c>
      <c r="F734" s="22" t="str">
        <f ca="1">IFERROR(__xludf.DUMMYFUNCTION("GOOGLETRANSLATE(E734,""ar"",""en"")"),"Nargis Company")</f>
        <v>Nargis Company</v>
      </c>
      <c r="G734" s="22" t="s">
        <v>3585</v>
      </c>
      <c r="H734" s="24" t="s">
        <v>3587</v>
      </c>
      <c r="I734" s="23" t="s">
        <v>3077</v>
      </c>
      <c r="J734" s="5" t="str">
        <f ca="1">IFERROR(__xludf.DUMMYFUNCTION("GOOGLETRANSLATE(G734,""ar"",""en"")"),"Al-Sha'la neighborhood")</f>
        <v>Al-Sha'la neighborhood</v>
      </c>
      <c r="K734" s="11">
        <v>507255730</v>
      </c>
      <c r="L734" s="11"/>
      <c r="M734" s="5" t="str">
        <f ca="1">IFERROR(__xludf.DUMMYFUNCTION("GOOGLETRANSLATE(J734,""ar"",""en"")"),"#VALUE!")</f>
        <v>#VALUE!</v>
      </c>
      <c r="N734" s="12" t="s">
        <v>3053</v>
      </c>
      <c r="O734" s="10" t="s">
        <v>3054</v>
      </c>
    </row>
    <row r="735" spans="1:15" ht="20.100000000000001" customHeight="1" thickTop="1" thickBot="1">
      <c r="A735" s="1"/>
      <c r="B735" s="22">
        <v>734</v>
      </c>
      <c r="C735" s="22" t="s">
        <v>3055</v>
      </c>
      <c r="D735" s="22" t="s">
        <v>13</v>
      </c>
      <c r="E735" s="22" t="s">
        <v>3056</v>
      </c>
      <c r="F735" s="22" t="str">
        <f ca="1">IFERROR(__xludf.DUMMYFUNCTION("GOOGLETRANSLATE(E735,""ar"",""en"")"),"Al-Barrak Salem Al-Amri Company")</f>
        <v>Al-Barrak Salem Al-Amri Company</v>
      </c>
      <c r="G735" s="22" t="s">
        <v>3585</v>
      </c>
      <c r="H735" s="24" t="s">
        <v>3587</v>
      </c>
      <c r="I735" s="23" t="s">
        <v>3077</v>
      </c>
      <c r="J735" s="5" t="str">
        <f ca="1">IFERROR(__xludf.DUMMYFUNCTION("GOOGLETRANSLATE(G735,""ar"",""en"")"),"Al-Sha'la neighborhood")</f>
        <v>Al-Sha'la neighborhood</v>
      </c>
      <c r="K735" s="5">
        <v>553992491</v>
      </c>
      <c r="L735" s="5"/>
      <c r="M735" s="5" t="str">
        <f ca="1">IFERROR(__xludf.DUMMYFUNCTION("GOOGLETRANSLATE(J735,""ar"",""en"")"),"#VALUE!")</f>
        <v>#VALUE!</v>
      </c>
      <c r="N735" s="6" t="s">
        <v>3057</v>
      </c>
      <c r="O735" s="10" t="s">
        <v>3058</v>
      </c>
    </row>
    <row r="736" spans="1:15" ht="20.100000000000001" customHeight="1" thickTop="1" thickBot="1">
      <c r="A736" s="1"/>
      <c r="B736" s="22">
        <v>735</v>
      </c>
      <c r="C736" s="22" t="s">
        <v>3059</v>
      </c>
      <c r="D736" s="22" t="s">
        <v>13</v>
      </c>
      <c r="E736" s="23" t="s">
        <v>3060</v>
      </c>
      <c r="F736" s="22" t="str">
        <f ca="1">IFERROR(__xludf.DUMMYFUNCTION("GOOGLETRANSLATE(E736,""ar"",""en"")"),"Pearl of the Flame")</f>
        <v>Pearl of the Flame</v>
      </c>
      <c r="G736" s="22" t="s">
        <v>3585</v>
      </c>
      <c r="H736" s="24" t="s">
        <v>3587</v>
      </c>
      <c r="I736" s="23" t="s">
        <v>3077</v>
      </c>
      <c r="J736" s="5" t="str">
        <f ca="1">IFERROR(__xludf.DUMMYFUNCTION("GOOGLETRANSLATE(G736,""ar"",""en"")"),"Al-Sha'la neighborhood")</f>
        <v>Al-Sha'la neighborhood</v>
      </c>
      <c r="K736" s="11">
        <v>531818586</v>
      </c>
      <c r="L736" s="11"/>
      <c r="M736" s="5" t="str">
        <f ca="1">IFERROR(__xludf.DUMMYFUNCTION("GOOGLETRANSLATE(J736,""ar"",""en"")"),"#VALUE!")</f>
        <v>#VALUE!</v>
      </c>
      <c r="N736" s="12" t="s">
        <v>3061</v>
      </c>
      <c r="O736" s="10" t="s">
        <v>3062</v>
      </c>
    </row>
    <row r="737" spans="1:15" ht="20.100000000000001" customHeight="1" thickTop="1" thickBot="1">
      <c r="A737" s="1"/>
      <c r="B737" s="22">
        <v>736</v>
      </c>
      <c r="C737" s="22" t="s">
        <v>3063</v>
      </c>
      <c r="D737" s="22" t="s">
        <v>13</v>
      </c>
      <c r="E737" s="22" t="s">
        <v>3064</v>
      </c>
      <c r="F737" s="22" t="str">
        <f ca="1">IFERROR(__xludf.DUMMYFUNCTION("GOOGLETRANSLATE(E737,""ar"",""en"")"),"Consumer Advantage Supplies")</f>
        <v>Consumer Advantage Supplies</v>
      </c>
      <c r="G737" s="22" t="s">
        <v>3585</v>
      </c>
      <c r="H737" s="24" t="s">
        <v>3587</v>
      </c>
      <c r="I737" s="23" t="s">
        <v>3077</v>
      </c>
      <c r="J737" s="5" t="str">
        <f ca="1">IFERROR(__xludf.DUMMYFUNCTION("GOOGLETRANSLATE(G737,""ar"",""en"")"),"Al-Sha'la neighborhood")</f>
        <v>Al-Sha'la neighborhood</v>
      </c>
      <c r="K737" s="5">
        <v>564300982</v>
      </c>
      <c r="L737" s="5"/>
      <c r="M737" s="5" t="str">
        <f ca="1">IFERROR(__xludf.DUMMYFUNCTION("GOOGLETRANSLATE(J737,""ar"",""en"")"),"#VALUE!")</f>
        <v>#VALUE!</v>
      </c>
      <c r="N737" s="6" t="s">
        <v>3065</v>
      </c>
      <c r="O737" s="10" t="s">
        <v>3066</v>
      </c>
    </row>
    <row r="738" spans="1:15" ht="20.100000000000001" customHeight="1" thickTop="1" thickBot="1">
      <c r="A738" s="1"/>
      <c r="B738" s="22">
        <v>737</v>
      </c>
      <c r="C738" s="22" t="s">
        <v>3067</v>
      </c>
      <c r="D738" s="22" t="s">
        <v>13</v>
      </c>
      <c r="E738" s="23" t="s">
        <v>3068</v>
      </c>
      <c r="F738" s="22" t="str">
        <f ca="1">IFERROR(__xludf.DUMMYFUNCTION("GOOGLETRANSLATE(E738,""ar"",""en"")"),"Shula Al-Khair Supplies")</f>
        <v>Shula Al-Khair Supplies</v>
      </c>
      <c r="G738" s="22" t="s">
        <v>3585</v>
      </c>
      <c r="H738" s="24" t="s">
        <v>3587</v>
      </c>
      <c r="I738" s="23" t="s">
        <v>3077</v>
      </c>
      <c r="J738" s="5" t="str">
        <f ca="1">IFERROR(__xludf.DUMMYFUNCTION("GOOGLETRANSLATE(G738,""ar"",""en"")"),"Al-Sha'la neighborhood")</f>
        <v>Al-Sha'la neighborhood</v>
      </c>
      <c r="K738" s="11">
        <v>530152413</v>
      </c>
      <c r="L738" s="11"/>
      <c r="M738" s="5" t="str">
        <f ca="1">IFERROR(__xludf.DUMMYFUNCTION("GOOGLETRANSLATE(J738,""ar"",""en"")"),"#VALUE!")</f>
        <v>#VALUE!</v>
      </c>
      <c r="N738" s="12" t="s">
        <v>3069</v>
      </c>
      <c r="O738" s="10" t="s">
        <v>3070</v>
      </c>
    </row>
    <row r="739" spans="1:15" ht="20.100000000000001" customHeight="1" thickTop="1" thickBot="1">
      <c r="A739" s="1"/>
      <c r="B739" s="22">
        <v>738</v>
      </c>
      <c r="C739" s="22" t="s">
        <v>3071</v>
      </c>
      <c r="D739" s="22" t="s">
        <v>13</v>
      </c>
      <c r="E739" s="22" t="s">
        <v>3072</v>
      </c>
      <c r="F739" s="22" t="str">
        <f ca="1">IFERROR(__xludf.DUMMYFUNCTION("GOOGLETRANSLATE(E739,""ar"",""en"")"),"Middle Torch Company")</f>
        <v>Middle Torch Company</v>
      </c>
      <c r="G739" s="22" t="s">
        <v>3585</v>
      </c>
      <c r="H739" s="24" t="s">
        <v>3587</v>
      </c>
      <c r="I739" s="23" t="s">
        <v>3077</v>
      </c>
      <c r="J739" s="5" t="str">
        <f ca="1">IFERROR(__xludf.DUMMYFUNCTION("GOOGLETRANSLATE(G739,""ar"",""en"")"),"Al-Sha'la neighborhood")</f>
        <v>Al-Sha'la neighborhood</v>
      </c>
      <c r="K739" s="5">
        <v>555192247</v>
      </c>
      <c r="L739" s="5"/>
      <c r="M739" s="5" t="str">
        <f ca="1">IFERROR(__xludf.DUMMYFUNCTION("GOOGLETRANSLATE(J739,""ar"",""en"")"),"#VALUE!")</f>
        <v>#VALUE!</v>
      </c>
      <c r="N739" s="6" t="s">
        <v>3073</v>
      </c>
      <c r="O739" s="10" t="s">
        <v>3074</v>
      </c>
    </row>
    <row r="740" spans="1:15" ht="20.100000000000001" customHeight="1" thickTop="1" thickBot="1">
      <c r="A740" s="1"/>
      <c r="B740" s="22">
        <v>739</v>
      </c>
      <c r="C740" s="22" t="s">
        <v>3075</v>
      </c>
      <c r="D740" s="22" t="s">
        <v>13</v>
      </c>
      <c r="E740" s="23" t="s">
        <v>3076</v>
      </c>
      <c r="F740" s="22" t="str">
        <f ca="1">IFERROR(__xludf.DUMMYFUNCTION("GOOGLETRANSLATE(E740,""ar"",""en"")"),"Zad Al-Khair Markets")</f>
        <v>Zad Al-Khair Markets</v>
      </c>
      <c r="G740" s="22" t="s">
        <v>3585</v>
      </c>
      <c r="H740" s="24" t="s">
        <v>3587</v>
      </c>
      <c r="I740" s="23" t="s">
        <v>3077</v>
      </c>
      <c r="J740" s="5" t="str">
        <f ca="1">IFERROR(__xludf.DUMMYFUNCTION("GOOGLETRANSLATE(G740,""ar"",""en"")"),"Al-Sha'la neighborhood")</f>
        <v>Al-Sha'la neighborhood</v>
      </c>
      <c r="K740" s="11">
        <v>558053375</v>
      </c>
      <c r="L740" s="11" t="s">
        <v>361</v>
      </c>
      <c r="M740" s="5" t="str">
        <f ca="1">IFERROR(__xludf.DUMMYFUNCTION("GOOGLETRANSLATE(J740,""ar"",""en"")"),"Ahmed")</f>
        <v>Ahmed</v>
      </c>
      <c r="N740" s="12" t="s">
        <v>3078</v>
      </c>
      <c r="O740" s="10" t="s">
        <v>3079</v>
      </c>
    </row>
    <row r="741" spans="1:15" ht="20.100000000000001" customHeight="1" thickTop="1" thickBot="1">
      <c r="A741" s="1"/>
      <c r="B741" s="22">
        <v>740</v>
      </c>
      <c r="C741" s="22" t="s">
        <v>3080</v>
      </c>
      <c r="D741" s="22" t="s">
        <v>13</v>
      </c>
      <c r="E741" s="22" t="s">
        <v>3081</v>
      </c>
      <c r="F741" s="22" t="str">
        <f ca="1">IFERROR(__xludf.DUMMYFUNCTION("GOOGLETRANSLATE(E741,""ar"",""en"")"),"Al Safwa Orchards Supplies")</f>
        <v>Al Safwa Orchards Supplies</v>
      </c>
      <c r="G741" s="22" t="s">
        <v>3585</v>
      </c>
      <c r="H741" s="24" t="s">
        <v>3587</v>
      </c>
      <c r="I741" s="23" t="s">
        <v>3077</v>
      </c>
      <c r="J741" s="5" t="str">
        <f ca="1">IFERROR(__xludf.DUMMYFUNCTION("GOOGLETRANSLATE(G741,""ar"",""en"")"),"Al-Sha'la neighborhood")</f>
        <v>Al-Sha'la neighborhood</v>
      </c>
      <c r="K741" s="5">
        <v>566027075</v>
      </c>
      <c r="L741" s="5" t="s">
        <v>3082</v>
      </c>
      <c r="M741" s="5" t="str">
        <f ca="1">IFERROR(__xludf.DUMMYFUNCTION("GOOGLETRANSLATE(J741,""ar"",""en"")"),"Mohammed Al-Sayari")</f>
        <v>Mohammed Al-Sayari</v>
      </c>
      <c r="N741" s="6" t="s">
        <v>3083</v>
      </c>
      <c r="O741" s="10" t="s">
        <v>3084</v>
      </c>
    </row>
    <row r="742" spans="1:15" ht="20.100000000000001" customHeight="1" thickTop="1" thickBot="1">
      <c r="A742" s="1"/>
      <c r="B742" s="22">
        <v>741</v>
      </c>
      <c r="C742" s="22" t="s">
        <v>3085</v>
      </c>
      <c r="D742" s="22" t="s">
        <v>13</v>
      </c>
      <c r="E742" s="23" t="s">
        <v>3086</v>
      </c>
      <c r="F742" s="22" t="str">
        <f ca="1">IFERROR(__xludf.DUMMYFUNCTION("GOOGLETRANSLATE(E742,""ar"",""en"")"),"Basmi Company")</f>
        <v>Basmi Company</v>
      </c>
      <c r="G742" s="22" t="s">
        <v>3585</v>
      </c>
      <c r="H742" s="24" t="s">
        <v>3587</v>
      </c>
      <c r="I742" s="23" t="s">
        <v>3077</v>
      </c>
      <c r="J742" s="5" t="str">
        <f ca="1">IFERROR(__xludf.DUMMYFUNCTION("GOOGLETRANSLATE(G742,""ar"",""en"")"),"Al-Sha'la neighborhood")</f>
        <v>Al-Sha'la neighborhood</v>
      </c>
      <c r="K742" s="11">
        <v>570084224</v>
      </c>
      <c r="L742" s="11"/>
      <c r="M742" s="5" t="str">
        <f ca="1">IFERROR(__xludf.DUMMYFUNCTION("GOOGLETRANSLATE(J742,""ar"",""en"")"),"#VALUE!")</f>
        <v>#VALUE!</v>
      </c>
      <c r="N742" s="12" t="s">
        <v>3087</v>
      </c>
      <c r="O742" s="10" t="s">
        <v>3088</v>
      </c>
    </row>
    <row r="743" spans="1:15" ht="20.100000000000001" customHeight="1" thickTop="1" thickBot="1">
      <c r="A743" s="1"/>
      <c r="B743" s="22">
        <v>742</v>
      </c>
      <c r="C743" s="22" t="s">
        <v>3089</v>
      </c>
      <c r="D743" s="22" t="s">
        <v>13</v>
      </c>
      <c r="E743" s="22" t="s">
        <v>3090</v>
      </c>
      <c r="F743" s="22" t="str">
        <f ca="1">IFERROR(__xludf.DUMMYFUNCTION("GOOGLETRANSLATE(E743,""ar"",""en"")"),"Fahad Tami Supplies")</f>
        <v>Fahad Tami Supplies</v>
      </c>
      <c r="G743" s="22" t="s">
        <v>3585</v>
      </c>
      <c r="H743" s="24" t="s">
        <v>3587</v>
      </c>
      <c r="I743" s="23" t="s">
        <v>3077</v>
      </c>
      <c r="J743" s="5" t="str">
        <f ca="1">IFERROR(__xludf.DUMMYFUNCTION("GOOGLETRANSLATE(G743,""ar"",""en"")"),"Al-Sha'la neighborhood")</f>
        <v>Al-Sha'la neighborhood</v>
      </c>
      <c r="K743" s="5">
        <v>544998135</v>
      </c>
      <c r="L743" s="5"/>
      <c r="M743" s="5" t="str">
        <f ca="1">IFERROR(__xludf.DUMMYFUNCTION("GOOGLETRANSLATE(J743,""ar"",""en"")"),"#VALUE!")</f>
        <v>#VALUE!</v>
      </c>
      <c r="N743" s="6" t="s">
        <v>3091</v>
      </c>
      <c r="O743" s="10" t="s">
        <v>3092</v>
      </c>
    </row>
    <row r="744" spans="1:15" ht="20.100000000000001" customHeight="1" thickTop="1" thickBot="1">
      <c r="A744" s="1"/>
      <c r="B744" s="22">
        <v>743</v>
      </c>
      <c r="C744" s="22" t="s">
        <v>3093</v>
      </c>
      <c r="D744" s="22" t="s">
        <v>13</v>
      </c>
      <c r="E744" s="23" t="s">
        <v>3094</v>
      </c>
      <c r="F744" s="22" t="str">
        <f ca="1">IFERROR(__xludf.DUMMYFUNCTION("GOOGLETRANSLATE(E744,""ar"",""en"")"),"Provisions 3")</f>
        <v>Provisions 3</v>
      </c>
      <c r="G744" s="22" t="s">
        <v>3585</v>
      </c>
      <c r="H744" s="24" t="s">
        <v>3587</v>
      </c>
      <c r="I744" s="23" t="s">
        <v>3077</v>
      </c>
      <c r="J744" s="5" t="str">
        <f ca="1">IFERROR(__xludf.DUMMYFUNCTION("GOOGLETRANSLATE(G744,""ar"",""en"")"),"Al-Sha'la neighborhood")</f>
        <v>Al-Sha'la neighborhood</v>
      </c>
      <c r="K744" s="11">
        <v>545144034</v>
      </c>
      <c r="L744" s="11"/>
      <c r="M744" s="5" t="str">
        <f ca="1">IFERROR(__xludf.DUMMYFUNCTION("GOOGLETRANSLATE(J744,""ar"",""en"")"),"#VALUE!")</f>
        <v>#VALUE!</v>
      </c>
      <c r="N744" s="12" t="s">
        <v>3095</v>
      </c>
      <c r="O744" s="10" t="s">
        <v>3096</v>
      </c>
    </row>
    <row r="745" spans="1:15" ht="20.100000000000001" customHeight="1" thickTop="1" thickBot="1">
      <c r="A745" s="1"/>
      <c r="B745" s="22">
        <v>744</v>
      </c>
      <c r="C745" s="22" t="s">
        <v>3097</v>
      </c>
      <c r="D745" s="22" t="s">
        <v>13</v>
      </c>
      <c r="E745" s="22" t="s">
        <v>2265</v>
      </c>
      <c r="F745" s="22" t="str">
        <f ca="1">IFERROR(__xludf.DUMMYFUNCTION("GOOGLETRANSLATE(E745,""ar"",""en"")"),"Hala Markets and Bakeries")</f>
        <v>Hala Markets and Bakeries</v>
      </c>
      <c r="G745" s="22" t="s">
        <v>3585</v>
      </c>
      <c r="H745" s="24" t="s">
        <v>3587</v>
      </c>
      <c r="I745" s="23" t="s">
        <v>3077</v>
      </c>
      <c r="J745" s="5" t="str">
        <f ca="1">IFERROR(__xludf.DUMMYFUNCTION("GOOGLETRANSLATE(G745,""ar"",""en"")"),"#VALUE!")</f>
        <v>#VALUE!</v>
      </c>
      <c r="K745" s="5"/>
      <c r="L745" s="5"/>
      <c r="M745" s="5" t="str">
        <f ca="1">IFERROR(__xludf.DUMMYFUNCTION("GOOGLETRANSLATE(J745,""ar"",""en"")"),"#VALUE!")</f>
        <v>#VALUE!</v>
      </c>
      <c r="N745" s="6" t="s">
        <v>3098</v>
      </c>
      <c r="O745" s="10" t="s">
        <v>3099</v>
      </c>
    </row>
    <row r="746" spans="1:15" ht="20.100000000000001" customHeight="1" thickTop="1" thickBot="1">
      <c r="A746" s="1"/>
      <c r="B746" s="22">
        <v>745</v>
      </c>
      <c r="C746" s="22" t="s">
        <v>3100</v>
      </c>
      <c r="D746" s="22" t="s">
        <v>13</v>
      </c>
      <c r="E746" s="23" t="s">
        <v>3101</v>
      </c>
      <c r="F746" s="22" t="str">
        <f ca="1">IFERROR(__xludf.DUMMYFUNCTION("GOOGLETRANSLATE(E746,""ar"",""en"")"),"East Coast Markets and Bakeries")</f>
        <v>East Coast Markets and Bakeries</v>
      </c>
      <c r="G746" s="22" t="s">
        <v>3585</v>
      </c>
      <c r="H746" s="24" t="s">
        <v>3587</v>
      </c>
      <c r="I746" s="23" t="s">
        <v>3077</v>
      </c>
      <c r="J746" s="5" t="str">
        <f ca="1">IFERROR(__xludf.DUMMYFUNCTION("GOOGLETRANSLATE(G746,""ar"",""en"")"),"Al-Sha'la neighborhood")</f>
        <v>Al-Sha'la neighborhood</v>
      </c>
      <c r="K746" s="11">
        <v>506170077</v>
      </c>
      <c r="L746" s="11" t="s">
        <v>3102</v>
      </c>
      <c r="M746" s="5" t="str">
        <f ca="1">IFERROR(__xludf.DUMMYFUNCTION("GOOGLETRANSLATE(J746,""ar"",""en"")"),"Mohammed Muqbil")</f>
        <v>Mohammed Muqbil</v>
      </c>
      <c r="N746" s="12" t="s">
        <v>3103</v>
      </c>
      <c r="O746" s="10" t="s">
        <v>3104</v>
      </c>
    </row>
    <row r="747" spans="1:15" ht="20.100000000000001" customHeight="1" thickTop="1" thickBot="1">
      <c r="A747" s="1"/>
      <c r="B747" s="22">
        <v>746</v>
      </c>
      <c r="C747" s="22" t="s">
        <v>3105</v>
      </c>
      <c r="D747" s="22" t="s">
        <v>13</v>
      </c>
      <c r="E747" s="22" t="s">
        <v>3106</v>
      </c>
      <c r="F747" s="22" t="str">
        <f ca="1">IFERROR(__xludf.DUMMYFUNCTION("GOOGLETRANSLATE(E747,""ar"",""en"")"),"Falkom Tayeb Supplies")</f>
        <v>Falkom Tayeb Supplies</v>
      </c>
      <c r="G747" s="22" t="s">
        <v>3585</v>
      </c>
      <c r="H747" s="24" t="s">
        <v>3587</v>
      </c>
      <c r="I747" s="23" t="s">
        <v>3077</v>
      </c>
      <c r="J747" s="5" t="str">
        <f ca="1">IFERROR(__xludf.DUMMYFUNCTION("GOOGLETRANSLATE(G747,""ar"",""en"")"),"Al-Sha'la neighborhood")</f>
        <v>Al-Sha'la neighborhood</v>
      </c>
      <c r="K747" s="5">
        <v>509560218</v>
      </c>
      <c r="L747" s="5" t="s">
        <v>83</v>
      </c>
      <c r="M747" s="5" t="str">
        <f ca="1">IFERROR(__xludf.DUMMYFUNCTION("GOOGLETRANSLATE(J747,""ar"",""en"")"),"on")</f>
        <v>on</v>
      </c>
      <c r="N747" s="6" t="s">
        <v>3107</v>
      </c>
      <c r="O747" s="10" t="s">
        <v>3108</v>
      </c>
    </row>
    <row r="748" spans="1:15" ht="20.100000000000001" customHeight="1" thickTop="1" thickBot="1">
      <c r="A748" s="1"/>
      <c r="B748" s="22">
        <v>747</v>
      </c>
      <c r="C748" s="22" t="s">
        <v>3109</v>
      </c>
      <c r="D748" s="22" t="s">
        <v>13</v>
      </c>
      <c r="E748" s="23" t="s">
        <v>3110</v>
      </c>
      <c r="F748" s="22" t="str">
        <f ca="1">IFERROR(__xludf.DUMMYFUNCTION("GOOGLETRANSLATE(E748,""ar"",""en"")"),"Fine Art Supplies")</f>
        <v>Fine Art Supplies</v>
      </c>
      <c r="G748" s="22" t="s">
        <v>3585</v>
      </c>
      <c r="H748" s="24" t="s">
        <v>3587</v>
      </c>
      <c r="I748" s="23" t="s">
        <v>3116</v>
      </c>
      <c r="J748" s="5" t="str">
        <f ca="1">IFERROR(__xludf.DUMMYFUNCTION("GOOGLETRANSLATE(G748,""ar"",""en"")"),"Tayba neighborhood")</f>
        <v>Tayba neighborhood</v>
      </c>
      <c r="K748" s="11">
        <v>557385535</v>
      </c>
      <c r="L748" s="11" t="s">
        <v>3111</v>
      </c>
      <c r="M748" s="5" t="str">
        <f ca="1">IFERROR(__xludf.DUMMYFUNCTION("GOOGLETRANSLATE(J748,""ar"",""en"")"),"Mohammed Al-Shumairi")</f>
        <v>Mohammed Al-Shumairi</v>
      </c>
      <c r="N748" s="12" t="s">
        <v>3112</v>
      </c>
      <c r="O748" s="10" t="s">
        <v>3113</v>
      </c>
    </row>
    <row r="749" spans="1:15" ht="20.100000000000001" customHeight="1" thickTop="1" thickBot="1">
      <c r="A749" s="1"/>
      <c r="B749" s="22">
        <v>748</v>
      </c>
      <c r="C749" s="22" t="s">
        <v>3114</v>
      </c>
      <c r="D749" s="22" t="s">
        <v>13</v>
      </c>
      <c r="E749" s="22" t="s">
        <v>3115</v>
      </c>
      <c r="F749" s="22" t="str">
        <f ca="1">IFERROR(__xludf.DUMMYFUNCTION("GOOGLETRANSLATE(E749,""ar"",""en"")"),"Deem Al-Barq Supplies")</f>
        <v>Deem Al-Barq Supplies</v>
      </c>
      <c r="G749" s="22" t="s">
        <v>3585</v>
      </c>
      <c r="H749" s="24" t="s">
        <v>3587</v>
      </c>
      <c r="I749" s="23" t="s">
        <v>3116</v>
      </c>
      <c r="J749" s="5" t="str">
        <f ca="1">IFERROR(__xludf.DUMMYFUNCTION("GOOGLETRANSLATE(G749,""ar"",""en"")"),"Tayba neighborhood")</f>
        <v>Tayba neighborhood</v>
      </c>
      <c r="K749" s="5"/>
      <c r="L749" s="5"/>
      <c r="M749" s="5" t="str">
        <f ca="1">IFERROR(__xludf.DUMMYFUNCTION("GOOGLETRANSLATE(J749,""ar"",""en"")"),"#VALUE!")</f>
        <v>#VALUE!</v>
      </c>
      <c r="N749" s="6" t="s">
        <v>3117</v>
      </c>
      <c r="O749" s="10" t="s">
        <v>3118</v>
      </c>
    </row>
    <row r="750" spans="1:15" ht="20.100000000000001" customHeight="1" thickTop="1" thickBot="1">
      <c r="A750" s="1"/>
      <c r="B750" s="22">
        <v>749</v>
      </c>
      <c r="C750" s="22" t="s">
        <v>3119</v>
      </c>
      <c r="D750" s="22" t="s">
        <v>13</v>
      </c>
      <c r="E750" s="23" t="s">
        <v>3120</v>
      </c>
      <c r="F750" s="22" t="str">
        <f ca="1">IFERROR(__xludf.DUMMYFUNCTION("GOOGLETRANSLATE(E750,""ar"",""en"")"),"subsistence")</f>
        <v>subsistence</v>
      </c>
      <c r="G750" s="22" t="s">
        <v>3585</v>
      </c>
      <c r="H750" s="24" t="s">
        <v>3587</v>
      </c>
      <c r="I750" s="23" t="s">
        <v>3116</v>
      </c>
      <c r="J750" s="5" t="str">
        <f ca="1">IFERROR(__xludf.DUMMYFUNCTION("GOOGLETRANSLATE(G750,""ar"",""en"")"),"Tayba neighborhood")</f>
        <v>Tayba neighborhood</v>
      </c>
      <c r="K750" s="11">
        <v>569866265</v>
      </c>
      <c r="L750" s="11" t="s">
        <v>1747</v>
      </c>
      <c r="M750" s="5" t="str">
        <f ca="1">IFERROR(__xludf.DUMMYFUNCTION("GOOGLETRANSLATE(J750,""ar"",""en"")"),"Rashid")</f>
        <v>Rashid</v>
      </c>
      <c r="N750" s="12" t="s">
        <v>3121</v>
      </c>
      <c r="O750" s="10" t="s">
        <v>3122</v>
      </c>
    </row>
    <row r="751" spans="1:15" ht="20.100000000000001" customHeight="1" thickTop="1" thickBot="1">
      <c r="A751" s="1"/>
      <c r="B751" s="22">
        <v>750</v>
      </c>
      <c r="C751" s="22" t="s">
        <v>3123</v>
      </c>
      <c r="D751" s="22" t="s">
        <v>13</v>
      </c>
      <c r="E751" s="22" t="s">
        <v>3124</v>
      </c>
      <c r="F751" s="22" t="str">
        <f ca="1">IFERROR(__xludf.DUMMYFUNCTION("GOOGLETRANSLATE(E751,""ar"",""en"")"),"Sheikha Sajdi Al-Otaibi's Supplies")</f>
        <v>Sheikha Sajdi Al-Otaibi's Supplies</v>
      </c>
      <c r="G751" s="22" t="s">
        <v>3585</v>
      </c>
      <c r="H751" s="24" t="s">
        <v>3587</v>
      </c>
      <c r="I751" s="23" t="s">
        <v>3116</v>
      </c>
      <c r="J751" s="5" t="str">
        <f ca="1">IFERROR(__xludf.DUMMYFUNCTION("GOOGLETRANSLATE(G751,""ar"",""en"")"),"Tayba neighborhood")</f>
        <v>Tayba neighborhood</v>
      </c>
      <c r="K751" s="5">
        <v>571399466</v>
      </c>
      <c r="L751" s="5" t="s">
        <v>3125</v>
      </c>
      <c r="M751" s="5" t="str">
        <f ca="1">IFERROR(__xludf.DUMMYFUNCTION("GOOGLETRANSLATE(J751,""ar"",""en"")"),"Ibrahim Al-Himyari")</f>
        <v>Ibrahim Al-Himyari</v>
      </c>
      <c r="N751" s="6" t="s">
        <v>3126</v>
      </c>
      <c r="O751" s="10" t="s">
        <v>3127</v>
      </c>
    </row>
    <row r="752" spans="1:15" ht="20.100000000000001" customHeight="1" thickTop="1" thickBot="1">
      <c r="A752" s="1"/>
      <c r="B752" s="22">
        <v>751</v>
      </c>
      <c r="C752" s="22" t="s">
        <v>3128</v>
      </c>
      <c r="D752" s="22" t="s">
        <v>13</v>
      </c>
      <c r="E752" s="23" t="s">
        <v>3129</v>
      </c>
      <c r="F752" s="22" t="str">
        <f ca="1">IFERROR(__xludf.DUMMYFUNCTION("GOOGLETRANSLATE(E752,""ar"",""en"")"),"Neighborhood grocery store")</f>
        <v>Neighborhood grocery store</v>
      </c>
      <c r="G752" s="22" t="s">
        <v>3585</v>
      </c>
      <c r="H752" s="24" t="s">
        <v>3587</v>
      </c>
      <c r="I752" s="23" t="s">
        <v>3116</v>
      </c>
      <c r="J752" s="5" t="str">
        <f ca="1">IFERROR(__xludf.DUMMYFUNCTION("GOOGLETRANSLATE(G752,""ar"",""en"")"),"Tayba neighborhood")</f>
        <v>Tayba neighborhood</v>
      </c>
      <c r="K752" s="11">
        <v>531026021</v>
      </c>
      <c r="L752" s="11" t="s">
        <v>3130</v>
      </c>
      <c r="M752" s="5" t="str">
        <f ca="1">IFERROR(__xludf.DUMMYFUNCTION("GOOGLETRANSLATE(J752,""ar"",""en"")"),"Firas")</f>
        <v>Firas</v>
      </c>
      <c r="N752" s="12" t="s">
        <v>3131</v>
      </c>
      <c r="O752" s="10" t="s">
        <v>3132</v>
      </c>
    </row>
    <row r="753" spans="1:15" ht="20.100000000000001" customHeight="1" thickTop="1" thickBot="1">
      <c r="A753" s="1"/>
      <c r="B753" s="22">
        <v>752</v>
      </c>
      <c r="C753" s="22" t="s">
        <v>3133</v>
      </c>
      <c r="D753" s="22" t="s">
        <v>13</v>
      </c>
      <c r="E753" s="22" t="s">
        <v>3134</v>
      </c>
      <c r="F753" s="22" t="str">
        <f ca="1">IFERROR(__xludf.DUMMYFUNCTION("GOOGLETRANSLATE(E753,""ar"",""en"")"),"Shahd Supplies")</f>
        <v>Shahd Supplies</v>
      </c>
      <c r="G753" s="22" t="s">
        <v>3585</v>
      </c>
      <c r="H753" s="24" t="s">
        <v>3587</v>
      </c>
      <c r="I753" s="23" t="s">
        <v>3116</v>
      </c>
      <c r="J753" s="5" t="str">
        <f ca="1">IFERROR(__xludf.DUMMYFUNCTION("GOOGLETRANSLATE(G753,""ar"",""en"")"),"Tayba neighborhood")</f>
        <v>Tayba neighborhood</v>
      </c>
      <c r="K753" s="5"/>
      <c r="L753" s="5"/>
      <c r="M753" s="5" t="str">
        <f ca="1">IFERROR(__xludf.DUMMYFUNCTION("GOOGLETRANSLATE(J753,""ar"",""en"")"),"#VALUE!")</f>
        <v>#VALUE!</v>
      </c>
      <c r="N753" s="6" t="s">
        <v>3135</v>
      </c>
      <c r="O753" s="10" t="s">
        <v>3136</v>
      </c>
    </row>
    <row r="754" spans="1:15" ht="20.100000000000001" customHeight="1" thickTop="1" thickBot="1">
      <c r="A754" s="1"/>
      <c r="B754" s="22">
        <v>753</v>
      </c>
      <c r="C754" s="22" t="s">
        <v>3137</v>
      </c>
      <c r="D754" s="22" t="s">
        <v>13</v>
      </c>
      <c r="E754" s="23" t="s">
        <v>3138</v>
      </c>
      <c r="F754" s="22" t="str">
        <f ca="1">IFERROR(__xludf.DUMMYFUNCTION("GOOGLETRANSLATE(E754,""ar"",""en"")"),"Nahar Al-Sayari Supplies")</f>
        <v>Nahar Al-Sayari Supplies</v>
      </c>
      <c r="G754" s="22" t="s">
        <v>3585</v>
      </c>
      <c r="H754" s="24" t="s">
        <v>3587</v>
      </c>
      <c r="I754" s="23" t="s">
        <v>3116</v>
      </c>
      <c r="J754" s="5" t="str">
        <f ca="1">IFERROR(__xludf.DUMMYFUNCTION("GOOGLETRANSLATE(G754,""ar"",""en"")"),"#VALUE!")</f>
        <v>#VALUE!</v>
      </c>
      <c r="K754" s="11">
        <v>508682600</v>
      </c>
      <c r="L754" s="11" t="s">
        <v>919</v>
      </c>
      <c r="M754" s="5" t="str">
        <f ca="1">IFERROR(__xludf.DUMMYFUNCTION("GOOGLETRANSLATE(J754,""ar"",""en"")"),"righteous")</f>
        <v>righteous</v>
      </c>
      <c r="N754" s="12" t="s">
        <v>3139</v>
      </c>
      <c r="O754" s="10" t="s">
        <v>3140</v>
      </c>
    </row>
    <row r="755" spans="1:15" ht="20.100000000000001" customHeight="1" thickTop="1" thickBot="1">
      <c r="A755" s="1"/>
      <c r="B755" s="22">
        <v>754</v>
      </c>
      <c r="C755" s="22" t="s">
        <v>3141</v>
      </c>
      <c r="D755" s="22" t="s">
        <v>13</v>
      </c>
      <c r="E755" s="22" t="s">
        <v>3142</v>
      </c>
      <c r="F755" s="22" t="str">
        <f ca="1">IFERROR(__xludf.DUMMYFUNCTION("GOOGLETRANSLATE(E755,""ar"",""en"")"),"Family Food Supplies")</f>
        <v>Family Food Supplies</v>
      </c>
      <c r="G755" s="22" t="s">
        <v>3585</v>
      </c>
      <c r="H755" s="24" t="s">
        <v>3587</v>
      </c>
      <c r="I755" s="23" t="s">
        <v>3077</v>
      </c>
      <c r="J755" s="5" t="str">
        <f ca="1">IFERROR(__xludf.DUMMYFUNCTION("GOOGLETRANSLATE(G755,""ar"",""en"")"),"Al-Fakhriya")</f>
        <v>Al-Fakhriya</v>
      </c>
      <c r="K755" s="5">
        <v>509100729</v>
      </c>
      <c r="L755" s="5"/>
      <c r="M755" s="5" t="str">
        <f ca="1">IFERROR(__xludf.DUMMYFUNCTION("GOOGLETRANSLATE(J755,""ar"",""en"")"),"#VALUE!")</f>
        <v>#VALUE!</v>
      </c>
      <c r="N755" s="6" t="s">
        <v>3143</v>
      </c>
      <c r="O755" s="10" t="s">
        <v>3144</v>
      </c>
    </row>
    <row r="756" spans="1:15" ht="20.100000000000001" customHeight="1" thickTop="1" thickBot="1">
      <c r="A756" s="1"/>
      <c r="B756" s="22">
        <v>755</v>
      </c>
      <c r="C756" s="22" t="s">
        <v>3145</v>
      </c>
      <c r="D756" s="22" t="s">
        <v>13</v>
      </c>
      <c r="E756" s="23" t="s">
        <v>3146</v>
      </c>
      <c r="F756" s="22" t="str">
        <f ca="1">IFERROR(__xludf.DUMMYFUNCTION("GOOGLETRANSLATE(E756,""ar"",""en"")"),"Pride of the Flame Foundation")</f>
        <v>Pride of the Flame Foundation</v>
      </c>
      <c r="G756" s="22" t="s">
        <v>3585</v>
      </c>
      <c r="H756" s="24" t="s">
        <v>3587</v>
      </c>
      <c r="I756" s="23" t="s">
        <v>3077</v>
      </c>
      <c r="J756" s="5" t="str">
        <f ca="1">IFERROR(__xludf.DUMMYFUNCTION("GOOGLETRANSLATE(G756,""ar"",""en"")"),"#VALUE!")</f>
        <v>#VALUE!</v>
      </c>
      <c r="K756" s="11">
        <v>576761105</v>
      </c>
      <c r="L756" s="11"/>
      <c r="M756" s="5" t="str">
        <f ca="1">IFERROR(__xludf.DUMMYFUNCTION("GOOGLETRANSLATE(J756,""ar"",""en"")"),"#VALUE!")</f>
        <v>#VALUE!</v>
      </c>
      <c r="N756" s="12" t="s">
        <v>3147</v>
      </c>
      <c r="O756" s="10" t="s">
        <v>3148</v>
      </c>
    </row>
    <row r="757" spans="1:15" ht="20.100000000000001" customHeight="1" thickTop="1" thickBot="1">
      <c r="A757" s="1"/>
      <c r="B757" s="22">
        <v>756</v>
      </c>
      <c r="C757" s="22" t="s">
        <v>3149</v>
      </c>
      <c r="D757" s="22" t="s">
        <v>13</v>
      </c>
      <c r="E757" s="22" t="s">
        <v>3150</v>
      </c>
      <c r="F757" s="22" t="str">
        <f ca="1">IFERROR(__xludf.DUMMYFUNCTION("GOOGLETRANSLATE(E757,""ar"",""en"")"),"Consumer gem")</f>
        <v>Consumer gem</v>
      </c>
      <c r="G757" s="22" t="s">
        <v>3585</v>
      </c>
      <c r="H757" s="24" t="s">
        <v>3587</v>
      </c>
      <c r="I757" s="23" t="s">
        <v>3116</v>
      </c>
      <c r="J757" s="5" t="str">
        <f ca="1">IFERROR(__xludf.DUMMYFUNCTION("GOOGLETRANSLATE(G757,""ar"",""en"")"),"Tayba neighborhood")</f>
        <v>Tayba neighborhood</v>
      </c>
      <c r="K757" s="5">
        <v>532064879</v>
      </c>
      <c r="L757" s="5" t="s">
        <v>294</v>
      </c>
      <c r="M757" s="5" t="str">
        <f ca="1">IFERROR(__xludf.DUMMYFUNCTION("GOOGLETRANSLATE(J757,""ar"",""en"")"),"Mohammed")</f>
        <v>Mohammed</v>
      </c>
      <c r="N757" s="6" t="s">
        <v>3151</v>
      </c>
      <c r="O757" s="10" t="s">
        <v>3152</v>
      </c>
    </row>
    <row r="758" spans="1:15" ht="20.100000000000001" customHeight="1" thickTop="1" thickBot="1">
      <c r="A758" s="1"/>
      <c r="B758" s="22">
        <v>757</v>
      </c>
      <c r="C758" s="22" t="s">
        <v>3153</v>
      </c>
      <c r="D758" s="22" t="s">
        <v>13</v>
      </c>
      <c r="E758" s="23" t="s">
        <v>3154</v>
      </c>
      <c r="F758" s="22" t="str">
        <f ca="1">IFERROR(__xludf.DUMMYFUNCTION("GOOGLETRANSLATE(E758,""ar"",""en"")"),"Luxury Basket Markets")</f>
        <v>Luxury Basket Markets</v>
      </c>
      <c r="G758" s="22" t="s">
        <v>3585</v>
      </c>
      <c r="H758" s="24" t="s">
        <v>3587</v>
      </c>
      <c r="I758" s="23" t="s">
        <v>3116</v>
      </c>
      <c r="J758" s="5" t="str">
        <f ca="1">IFERROR(__xludf.DUMMYFUNCTION("GOOGLETRANSLATE(G758,""ar"",""en"")"),"Tayba neighborhood")</f>
        <v>Tayba neighborhood</v>
      </c>
      <c r="K758" s="11">
        <v>579590023</v>
      </c>
      <c r="L758" s="11" t="s">
        <v>3155</v>
      </c>
      <c r="M758" s="5" t="str">
        <f ca="1">IFERROR(__xludf.DUMMYFUNCTION("GOOGLETRANSLATE(J758,""ar"",""en"")"),"Amjad Al-Ayoubi")</f>
        <v>Amjad Al-Ayoubi</v>
      </c>
      <c r="N758" s="12" t="s">
        <v>3156</v>
      </c>
      <c r="O758" s="10" t="s">
        <v>3157</v>
      </c>
    </row>
    <row r="759" spans="1:15" ht="20.100000000000001" customHeight="1" thickTop="1" thickBot="1">
      <c r="A759" s="1"/>
      <c r="B759" s="22">
        <v>758</v>
      </c>
      <c r="C759" s="22" t="s">
        <v>3158</v>
      </c>
      <c r="D759" s="22" t="s">
        <v>13</v>
      </c>
      <c r="E759" s="22" t="s">
        <v>3064</v>
      </c>
      <c r="F759" s="22" t="str">
        <f ca="1">IFERROR(__xludf.DUMMYFUNCTION("GOOGLETRANSLATE(E759,""ar"",""en"")"),"Consumer Advantage Supplies")</f>
        <v>Consumer Advantage Supplies</v>
      </c>
      <c r="G759" s="22" t="s">
        <v>3585</v>
      </c>
      <c r="H759" s="24" t="s">
        <v>3587</v>
      </c>
      <c r="I759" s="23" t="s">
        <v>3116</v>
      </c>
      <c r="J759" s="5" t="str">
        <f ca="1">IFERROR(__xludf.DUMMYFUNCTION("GOOGLETRANSLATE(G759,""ar"",""en"")"),"Tayba neighborhood")</f>
        <v>Tayba neighborhood</v>
      </c>
      <c r="K759" s="5">
        <v>558055643</v>
      </c>
      <c r="L759" s="5" t="s">
        <v>294</v>
      </c>
      <c r="M759" s="5" t="str">
        <f ca="1">IFERROR(__xludf.DUMMYFUNCTION("GOOGLETRANSLATE(J759,""ar"",""en"")"),"Mohammed")</f>
        <v>Mohammed</v>
      </c>
      <c r="N759" s="6" t="s">
        <v>3159</v>
      </c>
      <c r="O759" s="10" t="s">
        <v>3160</v>
      </c>
    </row>
    <row r="760" spans="1:15" ht="20.100000000000001" customHeight="1" thickTop="1" thickBot="1">
      <c r="A760" s="1"/>
      <c r="B760" s="22">
        <v>759</v>
      </c>
      <c r="C760" s="22" t="s">
        <v>3161</v>
      </c>
      <c r="D760" s="22" t="s">
        <v>13</v>
      </c>
      <c r="E760" s="23" t="s">
        <v>3162</v>
      </c>
      <c r="F760" s="22" t="str">
        <f ca="1">IFERROR(__xludf.DUMMYFUNCTION("GOOGLETRANSLATE(E760,""ar"",""en"")"),"Ruba'a Al-Masri Supplies")</f>
        <v>Ruba'a Al-Masri Supplies</v>
      </c>
      <c r="G760" s="22" t="s">
        <v>3585</v>
      </c>
      <c r="H760" s="24" t="s">
        <v>3587</v>
      </c>
      <c r="I760" s="23" t="s">
        <v>3116</v>
      </c>
      <c r="J760" s="5" t="str">
        <f ca="1">IFERROR(__xludf.DUMMYFUNCTION("GOOGLETRANSLATE(G760,""ar"",""en"")"),"Tayba neighborhood")</f>
        <v>Tayba neighborhood</v>
      </c>
      <c r="K760" s="11">
        <v>549730637</v>
      </c>
      <c r="L760" s="11" t="s">
        <v>490</v>
      </c>
      <c r="M760" s="5" t="str">
        <f ca="1">IFERROR(__xludf.DUMMYFUNCTION("GOOGLETRANSLATE(J760,""ar"",""en"")"),"Munir")</f>
        <v>Munir</v>
      </c>
      <c r="N760" s="12" t="s">
        <v>3163</v>
      </c>
      <c r="O760" s="10" t="s">
        <v>3164</v>
      </c>
    </row>
    <row r="761" spans="1:15" ht="20.100000000000001" customHeight="1" thickTop="1" thickBot="1">
      <c r="A761" s="1"/>
      <c r="B761" s="22">
        <v>760</v>
      </c>
      <c r="C761" s="22" t="s">
        <v>3165</v>
      </c>
      <c r="D761" s="22" t="s">
        <v>13</v>
      </c>
      <c r="E761" s="22" t="s">
        <v>3166</v>
      </c>
      <c r="F761" s="22" t="str">
        <f ca="1">IFERROR(__xludf.DUMMYFUNCTION("GOOGLETRANSLATE(E761,""ar"",""en"")"),"Talia Arab Supplies")</f>
        <v>Talia Arab Supplies</v>
      </c>
      <c r="G761" s="22" t="s">
        <v>3585</v>
      </c>
      <c r="H761" s="24" t="s">
        <v>3587</v>
      </c>
      <c r="I761" s="23" t="s">
        <v>3116</v>
      </c>
      <c r="J761" s="5" t="str">
        <f ca="1">IFERROR(__xludf.DUMMYFUNCTION("GOOGLETRANSLATE(G761,""ar"",""en"")"),"Tayba neighborhood")</f>
        <v>Tayba neighborhood</v>
      </c>
      <c r="K761" s="5">
        <v>504250739</v>
      </c>
      <c r="L761" s="5" t="s">
        <v>3167</v>
      </c>
      <c r="M761" s="5" t="str">
        <f ca="1">IFERROR(__xludf.DUMMYFUNCTION("GOOGLETRANSLATE(J761,""ar"",""en"")"),"Ahmed")</f>
        <v>Ahmed</v>
      </c>
      <c r="N761" s="6" t="s">
        <v>3168</v>
      </c>
      <c r="O761" s="10" t="s">
        <v>3169</v>
      </c>
    </row>
    <row r="762" spans="1:15" ht="20.100000000000001" customHeight="1" thickTop="1" thickBot="1">
      <c r="A762" s="1"/>
      <c r="B762" s="22">
        <v>761</v>
      </c>
      <c r="C762" s="22" t="s">
        <v>3170</v>
      </c>
      <c r="D762" s="22" t="s">
        <v>13</v>
      </c>
      <c r="E762" s="23" t="s">
        <v>3171</v>
      </c>
      <c r="F762" s="22" t="str">
        <f ca="1">IFERROR(__xludf.DUMMYFUNCTION("GOOGLETRANSLATE(E762,""ar"",""en"")"),"Manar Al Sharq Foundation")</f>
        <v>Manar Al Sharq Foundation</v>
      </c>
      <c r="G762" s="22" t="s">
        <v>3585</v>
      </c>
      <c r="H762" s="24" t="s">
        <v>3587</v>
      </c>
      <c r="I762" s="23" t="s">
        <v>3116</v>
      </c>
      <c r="J762" s="5" t="str">
        <f ca="1">IFERROR(__xludf.DUMMYFUNCTION("GOOGLETRANSLATE(G762,""ar"",""en"")"),"Tayba neighborhood")</f>
        <v>Tayba neighborhood</v>
      </c>
      <c r="K762" s="11">
        <v>503067614</v>
      </c>
      <c r="L762" s="11" t="s">
        <v>3172</v>
      </c>
      <c r="M762" s="5" t="str">
        <f ca="1">IFERROR(__xludf.DUMMYFUNCTION("GOOGLETRANSLATE(J762,""ar"",""en"")"),"Abu Muwaffaq")</f>
        <v>Abu Muwaffaq</v>
      </c>
      <c r="N762" s="12" t="s">
        <v>3173</v>
      </c>
      <c r="O762" s="10" t="s">
        <v>3174</v>
      </c>
    </row>
    <row r="763" spans="1:15" ht="20.100000000000001" customHeight="1" thickTop="1" thickBot="1">
      <c r="A763" s="1"/>
      <c r="B763" s="22">
        <v>762</v>
      </c>
      <c r="C763" s="22" t="s">
        <v>3175</v>
      </c>
      <c r="D763" s="22" t="s">
        <v>13</v>
      </c>
      <c r="E763" s="22" t="s">
        <v>92</v>
      </c>
      <c r="F763" s="22" t="str">
        <f ca="1">IFERROR(__xludf.DUMMYFUNCTION("GOOGLETRANSLATE(E763,""ar"",""en"")"),"Rural Palm Foundation")</f>
        <v>Rural Palm Foundation</v>
      </c>
      <c r="G763" s="22" t="s">
        <v>3585</v>
      </c>
      <c r="H763" s="24" t="s">
        <v>3587</v>
      </c>
      <c r="I763" s="23" t="s">
        <v>3116</v>
      </c>
      <c r="J763" s="5" t="str">
        <f ca="1">IFERROR(__xludf.DUMMYFUNCTION("GOOGLETRANSLATE(G763,""ar"",""en"")"),"Tayba neighborhood")</f>
        <v>Tayba neighborhood</v>
      </c>
      <c r="K763" s="5">
        <v>551717516</v>
      </c>
      <c r="L763" s="5" t="s">
        <v>3176</v>
      </c>
      <c r="M763" s="5" t="str">
        <f ca="1">IFERROR(__xludf.DUMMYFUNCTION("GOOGLETRANSLATE(J763,""ar"",""en"")"),"Suleiman")</f>
        <v>Suleiman</v>
      </c>
      <c r="N763" s="6" t="s">
        <v>3177</v>
      </c>
      <c r="O763" s="10" t="s">
        <v>3178</v>
      </c>
    </row>
    <row r="764" spans="1:15" ht="20.100000000000001" customHeight="1" thickTop="1" thickBot="1">
      <c r="A764" s="1"/>
      <c r="B764" s="22">
        <v>763</v>
      </c>
      <c r="C764" s="22" t="s">
        <v>3179</v>
      </c>
      <c r="D764" s="22" t="s">
        <v>13</v>
      </c>
      <c r="E764" s="23" t="s">
        <v>3180</v>
      </c>
      <c r="F764" s="22" t="str">
        <f ca="1">IFERROR(__xludf.DUMMYFUNCTION("GOOGLETRANSLATE(E764,""ar"",""en"")"),"Khair Selti Markets")</f>
        <v>Khair Selti Markets</v>
      </c>
      <c r="G764" s="22" t="s">
        <v>3585</v>
      </c>
      <c r="H764" s="24" t="s">
        <v>3587</v>
      </c>
      <c r="I764" s="23" t="s">
        <v>3116</v>
      </c>
      <c r="J764" s="5" t="str">
        <f ca="1">IFERROR(__xludf.DUMMYFUNCTION("GOOGLETRANSLATE(G764,""ar"",""en"")"),"Tayba neighborhood")</f>
        <v>Tayba neighborhood</v>
      </c>
      <c r="K764" s="11">
        <v>532180082</v>
      </c>
      <c r="L764" s="11" t="s">
        <v>361</v>
      </c>
      <c r="M764" s="5" t="str">
        <f ca="1">IFERROR(__xludf.DUMMYFUNCTION("GOOGLETRANSLATE(J764,""ar"",""en"")"),"Ahmed")</f>
        <v>Ahmed</v>
      </c>
      <c r="N764" s="12" t="s">
        <v>3181</v>
      </c>
      <c r="O764" s="10" t="s">
        <v>3182</v>
      </c>
    </row>
    <row r="765" spans="1:15" ht="20.100000000000001" customHeight="1" thickTop="1" thickBot="1">
      <c r="A765" s="1"/>
      <c r="B765" s="22">
        <v>764</v>
      </c>
      <c r="C765" s="22" t="s">
        <v>3183</v>
      </c>
      <c r="D765" s="22" t="s">
        <v>13</v>
      </c>
      <c r="E765" s="22" t="s">
        <v>3184</v>
      </c>
      <c r="F765" s="22" t="str">
        <f ca="1">IFERROR(__xludf.DUMMYFUNCTION("GOOGLETRANSLATE(E765,""ar"",""en"")"),"Sabil Market")</f>
        <v>Sabil Market</v>
      </c>
      <c r="G765" s="22" t="s">
        <v>3585</v>
      </c>
      <c r="H765" s="24" t="s">
        <v>3587</v>
      </c>
      <c r="I765" s="23" t="s">
        <v>3116</v>
      </c>
      <c r="J765" s="5" t="str">
        <f ca="1">IFERROR(__xludf.DUMMYFUNCTION("GOOGLETRANSLATE(G765,""ar"",""en"")"),"Tayba neighborhood")</f>
        <v>Tayba neighborhood</v>
      </c>
      <c r="K765" s="5">
        <v>504290775</v>
      </c>
      <c r="L765" s="5"/>
      <c r="M765" s="5" t="str">
        <f ca="1">IFERROR(__xludf.DUMMYFUNCTION("GOOGLETRANSLATE(J765,""ar"",""en"")"),"#VALUE!")</f>
        <v>#VALUE!</v>
      </c>
      <c r="N765" s="6" t="s">
        <v>3185</v>
      </c>
      <c r="O765" s="10" t="s">
        <v>3186</v>
      </c>
    </row>
    <row r="766" spans="1:15" ht="20.100000000000001" customHeight="1" thickTop="1" thickBot="1">
      <c r="A766" s="1"/>
      <c r="B766" s="22">
        <v>765</v>
      </c>
      <c r="C766" s="22" t="s">
        <v>3187</v>
      </c>
      <c r="D766" s="22" t="s">
        <v>13</v>
      </c>
      <c r="E766" s="23" t="s">
        <v>3188</v>
      </c>
      <c r="F766" s="22" t="str">
        <f ca="1">IFERROR(__xludf.DUMMYFUNCTION("GOOGLETRANSLATE(E766,""ar"",""en"")"),"Ganayen Supplies")</f>
        <v>Ganayen Supplies</v>
      </c>
      <c r="G766" s="22" t="s">
        <v>3585</v>
      </c>
      <c r="H766" s="24" t="s">
        <v>3587</v>
      </c>
      <c r="I766" s="23" t="s">
        <v>3116</v>
      </c>
      <c r="J766" s="5" t="str">
        <f ca="1">IFERROR(__xludf.DUMMYFUNCTION("GOOGLETRANSLATE(G766,""ar"",""en"")"),"Tayba neighborhood")</f>
        <v>Tayba neighborhood</v>
      </c>
      <c r="K766" s="11"/>
      <c r="L766" s="11"/>
      <c r="M766" s="5" t="str">
        <f ca="1">IFERROR(__xludf.DUMMYFUNCTION("GOOGLETRANSLATE(J766,""ar"",""en"")"),"#VALUE!")</f>
        <v>#VALUE!</v>
      </c>
      <c r="N766" s="12" t="s">
        <v>3189</v>
      </c>
      <c r="O766" s="10" t="s">
        <v>3190</v>
      </c>
    </row>
    <row r="767" spans="1:15" ht="20.100000000000001" customHeight="1" thickTop="1" thickBot="1">
      <c r="A767" s="1"/>
      <c r="B767" s="22">
        <v>766</v>
      </c>
      <c r="C767" s="22" t="s">
        <v>3191</v>
      </c>
      <c r="D767" s="22" t="s">
        <v>13</v>
      </c>
      <c r="E767" s="22" t="s">
        <v>3192</v>
      </c>
      <c r="F767" s="22" t="str">
        <f ca="1">IFERROR(__xludf.DUMMYFUNCTION("GOOGLETRANSLATE(E767,""ar"",""en"")"),"Mira's Story Supplies")</f>
        <v>Mira's Story Supplies</v>
      </c>
      <c r="G767" s="22" t="s">
        <v>3585</v>
      </c>
      <c r="H767" s="24" t="s">
        <v>3587</v>
      </c>
      <c r="I767" s="23" t="s">
        <v>3116</v>
      </c>
      <c r="J767" s="5" t="str">
        <f ca="1">IFERROR(__xludf.DUMMYFUNCTION("GOOGLETRANSLATE(G767,""ar"",""en"")"),"Tayba neighborhood")</f>
        <v>Tayba neighborhood</v>
      </c>
      <c r="K767" s="5">
        <v>554716328</v>
      </c>
      <c r="L767" s="5" t="s">
        <v>3193</v>
      </c>
      <c r="M767" s="5" t="str">
        <f ca="1">IFERROR(__xludf.DUMMYFUNCTION("GOOGLETRANSLATE(J767,""ar"",""en"")"),"Murad")</f>
        <v>Murad</v>
      </c>
      <c r="N767" s="6" t="s">
        <v>3194</v>
      </c>
      <c r="O767" s="10" t="s">
        <v>3195</v>
      </c>
    </row>
    <row r="768" spans="1:15" ht="20.100000000000001" customHeight="1" thickTop="1" thickBot="1">
      <c r="A768" s="1"/>
      <c r="B768" s="22">
        <v>767</v>
      </c>
      <c r="C768" s="22" t="s">
        <v>3196</v>
      </c>
      <c r="D768" s="22" t="s">
        <v>13</v>
      </c>
      <c r="E768" s="23" t="s">
        <v>3197</v>
      </c>
      <c r="F768" s="22" t="str">
        <f ca="1">IFERROR(__xludf.DUMMYFUNCTION("GOOGLETRANSLATE(E768,""ar"",""en"")"),"Zadi Arab Markets")</f>
        <v>Zadi Arab Markets</v>
      </c>
      <c r="G768" s="22" t="s">
        <v>3585</v>
      </c>
      <c r="H768" s="24" t="s">
        <v>3587</v>
      </c>
      <c r="I768" s="23" t="s">
        <v>3116</v>
      </c>
      <c r="J768" s="5" t="str">
        <f ca="1">IFERROR(__xludf.DUMMYFUNCTION("GOOGLETRANSLATE(G768,""ar"",""en"")"),"Tayba neighborhood")</f>
        <v>Tayba neighborhood</v>
      </c>
      <c r="K768" s="11"/>
      <c r="L768" s="11"/>
      <c r="M768" s="5" t="str">
        <f ca="1">IFERROR(__xludf.DUMMYFUNCTION("GOOGLETRANSLATE(J768,""ar"",""en"")"),"#VALUE!")</f>
        <v>#VALUE!</v>
      </c>
      <c r="N768" s="12" t="s">
        <v>3198</v>
      </c>
      <c r="O768" s="10" t="s">
        <v>3199</v>
      </c>
    </row>
    <row r="769" spans="1:15" ht="20.100000000000001" customHeight="1" thickTop="1" thickBot="1">
      <c r="A769" s="1"/>
      <c r="B769" s="22">
        <v>768</v>
      </c>
      <c r="C769" s="22" t="s">
        <v>3200</v>
      </c>
      <c r="D769" s="22" t="s">
        <v>13</v>
      </c>
      <c r="E769" s="22" t="s">
        <v>3201</v>
      </c>
      <c r="F769" s="22" t="str">
        <f ca="1">IFERROR(__xludf.DUMMYFUNCTION("GOOGLETRANSLATE(E769,""ar"",""en"")"),"Walmart Markets and Bakeries")</f>
        <v>Walmart Markets and Bakeries</v>
      </c>
      <c r="G769" s="22" t="s">
        <v>3585</v>
      </c>
      <c r="H769" s="24" t="s">
        <v>3587</v>
      </c>
      <c r="I769" s="23" t="s">
        <v>3116</v>
      </c>
      <c r="J769" s="5" t="str">
        <f ca="1">IFERROR(__xludf.DUMMYFUNCTION("GOOGLETRANSLATE(G769,""ar"",""en"")"),"Tayba neighborhood")</f>
        <v>Tayba neighborhood</v>
      </c>
      <c r="K769" s="5">
        <v>550688315</v>
      </c>
      <c r="L769" s="5" t="s">
        <v>919</v>
      </c>
      <c r="M769" s="5" t="str">
        <f ca="1">IFERROR(__xludf.DUMMYFUNCTION("GOOGLETRANSLATE(J769,""ar"",""en"")"),"righteous")</f>
        <v>righteous</v>
      </c>
      <c r="N769" s="6" t="s">
        <v>3202</v>
      </c>
      <c r="O769" s="10" t="s">
        <v>3203</v>
      </c>
    </row>
    <row r="770" spans="1:15" ht="20.100000000000001" customHeight="1" thickTop="1" thickBot="1">
      <c r="A770" s="1"/>
      <c r="B770" s="22">
        <v>769</v>
      </c>
      <c r="C770" s="22" t="s">
        <v>3204</v>
      </c>
      <c r="D770" s="22" t="s">
        <v>13</v>
      </c>
      <c r="E770" s="23" t="s">
        <v>1762</v>
      </c>
      <c r="F770" s="22" t="str">
        <f ca="1">IFERROR(__xludf.DUMMYFUNCTION("GOOGLETRANSLATE(E770,""ar"",""en"")"),"Badia.com Company")</f>
        <v>Badia.com Company</v>
      </c>
      <c r="G770" s="22" t="s">
        <v>3585</v>
      </c>
      <c r="H770" s="24" t="s">
        <v>3587</v>
      </c>
      <c r="I770" s="23" t="s">
        <v>3116</v>
      </c>
      <c r="J770" s="5" t="str">
        <f ca="1">IFERROR(__xludf.DUMMYFUNCTION("GOOGLETRANSLATE(G770,""ar"",""en"")"),"Tayba neighborhood")</f>
        <v>Tayba neighborhood</v>
      </c>
      <c r="K770" s="11">
        <v>138115118</v>
      </c>
      <c r="L770" s="11"/>
      <c r="M770" s="5" t="str">
        <f ca="1">IFERROR(__xludf.DUMMYFUNCTION("GOOGLETRANSLATE(J770,""ar"",""en"")"),"#VALUE!")</f>
        <v>#VALUE!</v>
      </c>
      <c r="N770" s="12" t="s">
        <v>3205</v>
      </c>
      <c r="O770" s="10" t="s">
        <v>3206</v>
      </c>
    </row>
    <row r="771" spans="1:15" ht="20.100000000000001" customHeight="1" thickTop="1" thickBot="1">
      <c r="A771" s="1"/>
      <c r="B771" s="22">
        <v>770</v>
      </c>
      <c r="C771" s="22" t="s">
        <v>3207</v>
      </c>
      <c r="D771" s="22" t="s">
        <v>13</v>
      </c>
      <c r="E771" s="22" t="s">
        <v>3208</v>
      </c>
      <c r="F771" s="22" t="str">
        <f ca="1">IFERROR(__xludf.DUMMYFUNCTION("GOOGLETRANSLATE(E771,""ar"",""en"")"),"Zad Al Shorouk Supplies")</f>
        <v>Zad Al Shorouk Supplies</v>
      </c>
      <c r="G771" s="22" t="s">
        <v>3585</v>
      </c>
      <c r="H771" s="24" t="s">
        <v>3587</v>
      </c>
      <c r="I771" s="23" t="s">
        <v>3116</v>
      </c>
      <c r="J771" s="5" t="str">
        <f ca="1">IFERROR(__xludf.DUMMYFUNCTION("GOOGLETRANSLATE(G771,""ar"",""en"")"),"Tayba neighborhood")</f>
        <v>Tayba neighborhood</v>
      </c>
      <c r="K771" s="5">
        <v>594070663</v>
      </c>
      <c r="L771" s="5" t="s">
        <v>3209</v>
      </c>
      <c r="M771" s="5" t="str">
        <f ca="1">IFERROR(__xludf.DUMMYFUNCTION("GOOGLETRANSLATE(J771,""ar"",""en"")"),"Bilal")</f>
        <v>Bilal</v>
      </c>
      <c r="N771" s="6" t="s">
        <v>3210</v>
      </c>
      <c r="O771" s="10" t="s">
        <v>3211</v>
      </c>
    </row>
    <row r="772" spans="1:15" ht="20.100000000000001" customHeight="1" thickTop="1" thickBot="1">
      <c r="A772" s="1"/>
      <c r="B772" s="22">
        <v>771</v>
      </c>
      <c r="C772" s="22" t="s">
        <v>3212</v>
      </c>
      <c r="D772" s="22" t="s">
        <v>13</v>
      </c>
      <c r="E772" s="23" t="s">
        <v>3213</v>
      </c>
      <c r="F772" s="22" t="str">
        <f ca="1">IFERROR(__xludf.DUMMYFUNCTION("GOOGLETRANSLATE(E772,""ar"",""en"")"),"Stop and Look Foundation")</f>
        <v>Stop and Look Foundation</v>
      </c>
      <c r="G772" s="22" t="s">
        <v>3585</v>
      </c>
      <c r="H772" s="24" t="s">
        <v>3587</v>
      </c>
      <c r="I772" s="23" t="s">
        <v>3214</v>
      </c>
      <c r="J772" s="5" t="str">
        <f ca="1">IFERROR(__xludf.DUMMYFUNCTION("GOOGLETRANSLATE(G772,""ar"",""en"")"),"Al Nada neighborhood")</f>
        <v>Al Nada neighborhood</v>
      </c>
      <c r="K772" s="11">
        <v>537109041</v>
      </c>
      <c r="L772" s="11" t="s">
        <v>1189</v>
      </c>
      <c r="M772" s="5" t="str">
        <f ca="1">IFERROR(__xludf.DUMMYFUNCTION("GOOGLETRANSLATE(J772,""ar"",""en"")"),"age")</f>
        <v>age</v>
      </c>
      <c r="N772" s="12" t="s">
        <v>3215</v>
      </c>
      <c r="O772" s="10" t="s">
        <v>3216</v>
      </c>
    </row>
    <row r="773" spans="1:15" ht="20.100000000000001" customHeight="1" thickTop="1" thickBot="1">
      <c r="A773" s="1"/>
      <c r="B773" s="22">
        <v>772</v>
      </c>
      <c r="C773" s="22" t="s">
        <v>3217</v>
      </c>
      <c r="D773" s="22" t="s">
        <v>13</v>
      </c>
      <c r="E773" s="22" t="s">
        <v>3218</v>
      </c>
      <c r="F773" s="22" t="str">
        <f ca="1">IFERROR(__xludf.DUMMYFUNCTION("GOOGLETRANSLATE(E773,""ar"",""en"")"),"Anwar Al-Nujoum Supplies")</f>
        <v>Anwar Al-Nujoum Supplies</v>
      </c>
      <c r="G773" s="22" t="s">
        <v>3585</v>
      </c>
      <c r="H773" s="24" t="s">
        <v>3587</v>
      </c>
      <c r="I773" s="23" t="s">
        <v>3214</v>
      </c>
      <c r="J773" s="5" t="str">
        <f ca="1">IFERROR(__xludf.DUMMYFUNCTION("GOOGLETRANSLATE(G773,""ar"",""en"")"),"Al Nada neighborhood")</f>
        <v>Al Nada neighborhood</v>
      </c>
      <c r="K773" s="5">
        <v>510794330</v>
      </c>
      <c r="L773" s="5"/>
      <c r="M773" s="5" t="str">
        <f ca="1">IFERROR(__xludf.DUMMYFUNCTION("GOOGLETRANSLATE(J773,""ar"",""en"")"),"#VALUE!")</f>
        <v>#VALUE!</v>
      </c>
      <c r="N773" s="6" t="s">
        <v>3219</v>
      </c>
      <c r="O773" s="10" t="s">
        <v>3220</v>
      </c>
    </row>
    <row r="774" spans="1:15" ht="20.100000000000001" customHeight="1" thickTop="1" thickBot="1">
      <c r="A774" s="1"/>
      <c r="B774" s="22">
        <v>773</v>
      </c>
      <c r="C774" s="22" t="s">
        <v>3221</v>
      </c>
      <c r="D774" s="22" t="s">
        <v>13</v>
      </c>
      <c r="E774" s="23" t="s">
        <v>3222</v>
      </c>
      <c r="F774" s="22" t="str">
        <f ca="1">IFERROR(__xludf.DUMMYFUNCTION("GOOGLETRANSLATE(E774,""ar"",""en"")"),"Tala Al-Khair Markets and Bakeries")</f>
        <v>Tala Al-Khair Markets and Bakeries</v>
      </c>
      <c r="G774" s="22" t="s">
        <v>3585</v>
      </c>
      <c r="H774" s="24" t="s">
        <v>3587</v>
      </c>
      <c r="I774" s="23" t="s">
        <v>3214</v>
      </c>
      <c r="J774" s="5" t="str">
        <f ca="1">IFERROR(__xludf.DUMMYFUNCTION("GOOGLETRANSLATE(G774,""ar"",""en"")"),"Al Nada neighborhood")</f>
        <v>Al Nada neighborhood</v>
      </c>
      <c r="K774" s="11">
        <v>559101453</v>
      </c>
      <c r="L774" s="11" t="s">
        <v>257</v>
      </c>
      <c r="M774" s="5" t="str">
        <f ca="1">IFERROR(__xludf.DUMMYFUNCTION("GOOGLETRANSLATE(J774,""ar"",""en"")"),"Yasser")</f>
        <v>Yasser</v>
      </c>
      <c r="N774" s="12" t="s">
        <v>3223</v>
      </c>
      <c r="O774" s="10" t="s">
        <v>3224</v>
      </c>
    </row>
    <row r="775" spans="1:15" ht="20.100000000000001" customHeight="1" thickTop="1" thickBot="1">
      <c r="A775" s="1"/>
      <c r="B775" s="22">
        <v>774</v>
      </c>
      <c r="C775" s="22" t="s">
        <v>3225</v>
      </c>
      <c r="D775" s="22" t="s">
        <v>13</v>
      </c>
      <c r="E775" s="22" t="s">
        <v>3138</v>
      </c>
      <c r="F775" s="22" t="str">
        <f ca="1">IFERROR(__xludf.DUMMYFUNCTION("GOOGLETRANSLATE(E775,""ar"",""en"")"),"Nahar Al-Sayari Supplies")</f>
        <v>Nahar Al-Sayari Supplies</v>
      </c>
      <c r="G775" s="22" t="s">
        <v>3585</v>
      </c>
      <c r="H775" s="24" t="s">
        <v>3587</v>
      </c>
      <c r="I775" s="23" t="s">
        <v>3214</v>
      </c>
      <c r="J775" s="5" t="str">
        <f ca="1">IFERROR(__xludf.DUMMYFUNCTION("GOOGLETRANSLATE(G775,""ar"",""en"")"),"Al Nada neighborhood")</f>
        <v>Al Nada neighborhood</v>
      </c>
      <c r="K775" s="5">
        <v>557928767</v>
      </c>
      <c r="L775" s="5" t="s">
        <v>294</v>
      </c>
      <c r="M775" s="5" t="str">
        <f ca="1">IFERROR(__xludf.DUMMYFUNCTION("GOOGLETRANSLATE(J775,""ar"",""en"")"),"Mohammed")</f>
        <v>Mohammed</v>
      </c>
      <c r="N775" s="6" t="s">
        <v>3226</v>
      </c>
      <c r="O775" s="10" t="s">
        <v>3227</v>
      </c>
    </row>
    <row r="776" spans="1:15" ht="20.100000000000001" customHeight="1" thickTop="1" thickBot="1">
      <c r="A776" s="1"/>
      <c r="B776" s="22">
        <v>775</v>
      </c>
      <c r="C776" s="22" t="s">
        <v>3228</v>
      </c>
      <c r="D776" s="22" t="s">
        <v>13</v>
      </c>
      <c r="E776" s="23" t="s">
        <v>3229</v>
      </c>
      <c r="F776" s="22" t="str">
        <f ca="1">IFERROR(__xludf.DUMMYFUNCTION("GOOGLETRANSLATE(E776,""ar"",""en"")"),"Zadi's cart")</f>
        <v>Zadi's cart</v>
      </c>
      <c r="G776" s="22" t="s">
        <v>3585</v>
      </c>
      <c r="H776" s="24" t="s">
        <v>3587</v>
      </c>
      <c r="I776" s="23" t="s">
        <v>3214</v>
      </c>
      <c r="J776" s="5" t="str">
        <f ca="1">IFERROR(__xludf.DUMMYFUNCTION("GOOGLETRANSLATE(G776,""ar"",""en"")"),"Al Nada neighborhood")</f>
        <v>Al Nada neighborhood</v>
      </c>
      <c r="K776" s="11">
        <v>579329400</v>
      </c>
      <c r="L776" s="11" t="s">
        <v>1878</v>
      </c>
      <c r="M776" s="5" t="str">
        <f ca="1">IFERROR(__xludf.DUMMYFUNCTION("GOOGLETRANSLATE(J776,""ar"",""en"")"),"Faisal")</f>
        <v>Faisal</v>
      </c>
      <c r="N776" s="12" t="s">
        <v>3230</v>
      </c>
      <c r="O776" s="10" t="s">
        <v>3231</v>
      </c>
    </row>
    <row r="777" spans="1:15" ht="20.100000000000001" customHeight="1" thickTop="1" thickBot="1">
      <c r="A777" s="1"/>
      <c r="B777" s="22">
        <v>776</v>
      </c>
      <c r="C777" s="22" t="s">
        <v>3232</v>
      </c>
      <c r="D777" s="22" t="s">
        <v>13</v>
      </c>
      <c r="E777" s="22" t="s">
        <v>3233</v>
      </c>
      <c r="F777" s="22" t="str">
        <f ca="1">IFERROR(__xludf.DUMMYFUNCTION("GOOGLETRANSLATE(E777,""ar"",""en"")"),"Thick Supplies")</f>
        <v>Thick Supplies</v>
      </c>
      <c r="G777" s="22" t="s">
        <v>3585</v>
      </c>
      <c r="H777" s="24" t="s">
        <v>3587</v>
      </c>
      <c r="I777" s="23" t="s">
        <v>3214</v>
      </c>
      <c r="J777" s="5" t="str">
        <f ca="1">IFERROR(__xludf.DUMMYFUNCTION("GOOGLETRANSLATE(G777,""ar"",""en"")"),"Al Nada neighborhood")</f>
        <v>Al Nada neighborhood</v>
      </c>
      <c r="K777" s="5">
        <v>508299960</v>
      </c>
      <c r="L777" s="5"/>
      <c r="M777" s="5" t="str">
        <f ca="1">IFERROR(__xludf.DUMMYFUNCTION("GOOGLETRANSLATE(J777,""ar"",""en"")"),"#VALUE!")</f>
        <v>#VALUE!</v>
      </c>
      <c r="N777" s="6" t="s">
        <v>3234</v>
      </c>
      <c r="O777" s="10" t="s">
        <v>3235</v>
      </c>
    </row>
    <row r="778" spans="1:15" ht="20.100000000000001" customHeight="1" thickTop="1" thickBot="1">
      <c r="A778" s="1"/>
      <c r="B778" s="22">
        <v>777</v>
      </c>
      <c r="C778" s="22" t="s">
        <v>3236</v>
      </c>
      <c r="D778" s="22" t="s">
        <v>13</v>
      </c>
      <c r="E778" s="23" t="s">
        <v>3237</v>
      </c>
      <c r="F778" s="22" t="str">
        <f ca="1">IFERROR(__xludf.DUMMYFUNCTION("GOOGLETRANSLATE(E778,""ar"",""en"")"),"Sidra Al Waha Supermarkets")</f>
        <v>Sidra Al Waha Supermarkets</v>
      </c>
      <c r="G778" s="22" t="s">
        <v>3585</v>
      </c>
      <c r="H778" s="24" t="s">
        <v>3587</v>
      </c>
      <c r="I778" s="23" t="s">
        <v>3214</v>
      </c>
      <c r="J778" s="5" t="str">
        <f ca="1">IFERROR(__xludf.DUMMYFUNCTION("GOOGLETRANSLATE(G778,""ar"",""en"")"),"Al Nada neighborhood")</f>
        <v>Al Nada neighborhood</v>
      </c>
      <c r="K778" s="11">
        <v>557800383</v>
      </c>
      <c r="L778" s="11" t="s">
        <v>3238</v>
      </c>
      <c r="M778" s="5" t="str">
        <f ca="1">IFERROR(__xludf.DUMMYFUNCTION("GOOGLETRANSLATE(J778,""ar"",""en"")"),"companion")</f>
        <v>companion</v>
      </c>
      <c r="N778" s="12" t="s">
        <v>3239</v>
      </c>
      <c r="O778" s="10" t="s">
        <v>3240</v>
      </c>
    </row>
    <row r="779" spans="1:15" ht="20.100000000000001" customHeight="1" thickTop="1" thickBot="1">
      <c r="A779" s="1"/>
      <c r="B779" s="22">
        <v>778</v>
      </c>
      <c r="C779" s="22" t="s">
        <v>3241</v>
      </c>
      <c r="D779" s="22" t="s">
        <v>13</v>
      </c>
      <c r="E779" s="22" t="s">
        <v>3242</v>
      </c>
      <c r="F779" s="22" t="str">
        <f ca="1">IFERROR(__xludf.DUMMYFUNCTION("GOOGLETRANSLATE(E779,""ar"",""en"")"),"Alwan Saba Grocery")</f>
        <v>Alwan Saba Grocery</v>
      </c>
      <c r="G779" s="22" t="s">
        <v>3585</v>
      </c>
      <c r="H779" s="24" t="s">
        <v>3587</v>
      </c>
      <c r="I779" s="23" t="s">
        <v>3214</v>
      </c>
      <c r="J779" s="5" t="str">
        <f ca="1">IFERROR(__xludf.DUMMYFUNCTION("GOOGLETRANSLATE(G779,""ar"",""en"")"),"Al Nada neighborhood")</f>
        <v>Al Nada neighborhood</v>
      </c>
      <c r="K779" s="5">
        <v>502362370</v>
      </c>
      <c r="L779" s="5" t="s">
        <v>3243</v>
      </c>
      <c r="M779" s="5" t="str">
        <f ca="1">IFERROR(__xludf.DUMMYFUNCTION("GOOGLETRANSLATE(J779,""ar"",""en"")"),"Waseem Al-Hamoudi")</f>
        <v>Waseem Al-Hamoudi</v>
      </c>
      <c r="N779" s="6" t="s">
        <v>3244</v>
      </c>
      <c r="O779" s="10" t="s">
        <v>3245</v>
      </c>
    </row>
    <row r="780" spans="1:15" ht="20.100000000000001" customHeight="1" thickTop="1" thickBot="1">
      <c r="A780" s="1"/>
      <c r="B780" s="22">
        <v>779</v>
      </c>
      <c r="C780" s="22" t="s">
        <v>3246</v>
      </c>
      <c r="D780" s="22" t="s">
        <v>13</v>
      </c>
      <c r="E780" s="23" t="s">
        <v>3247</v>
      </c>
      <c r="F780" s="22" t="str">
        <f ca="1">IFERROR(__xludf.DUMMYFUNCTION("GOOGLETRANSLATE(E780,""ar"",""en"")"),"City Beach Supplies")</f>
        <v>City Beach Supplies</v>
      </c>
      <c r="G780" s="22" t="s">
        <v>3585</v>
      </c>
      <c r="H780" s="24" t="s">
        <v>3587</v>
      </c>
      <c r="I780" s="23" t="s">
        <v>3214</v>
      </c>
      <c r="J780" s="5" t="str">
        <f ca="1">IFERROR(__xludf.DUMMYFUNCTION("GOOGLETRANSLATE(G780,""ar"",""en"")"),"Al Nada neighborhood")</f>
        <v>Al Nada neighborhood</v>
      </c>
      <c r="K780" s="11">
        <v>508056286</v>
      </c>
      <c r="L780" s="11" t="s">
        <v>83</v>
      </c>
      <c r="M780" s="5" t="str">
        <f ca="1">IFERROR(__xludf.DUMMYFUNCTION("GOOGLETRANSLATE(J780,""ar"",""en"")"),"on")</f>
        <v>on</v>
      </c>
      <c r="N780" s="12" t="s">
        <v>3248</v>
      </c>
      <c r="O780" s="10" t="s">
        <v>3249</v>
      </c>
    </row>
    <row r="781" spans="1:15" ht="20.100000000000001" customHeight="1" thickTop="1" thickBot="1">
      <c r="A781" s="1"/>
      <c r="B781" s="22">
        <v>780</v>
      </c>
      <c r="C781" s="22" t="s">
        <v>3250</v>
      </c>
      <c r="D781" s="22" t="s">
        <v>13</v>
      </c>
      <c r="E781" s="22" t="s">
        <v>3251</v>
      </c>
      <c r="F781" s="22" t="str">
        <f ca="1">IFERROR(__xludf.DUMMYFUNCTION("GOOGLETRANSLATE(E781,""ar"",""en"")"),"Ruins of goodness")</f>
        <v>Ruins of goodness</v>
      </c>
      <c r="G781" s="22" t="s">
        <v>3585</v>
      </c>
      <c r="H781" s="24" t="s">
        <v>3587</v>
      </c>
      <c r="I781" s="23" t="s">
        <v>3214</v>
      </c>
      <c r="J781" s="5" t="str">
        <f ca="1">IFERROR(__xludf.DUMMYFUNCTION("GOOGLETRANSLATE(G781,""ar"",""en"")"),"Al Nada neighborhood")</f>
        <v>Al Nada neighborhood</v>
      </c>
      <c r="K781" s="5"/>
      <c r="L781" s="5"/>
      <c r="M781" s="5" t="str">
        <f ca="1">IFERROR(__xludf.DUMMYFUNCTION("GOOGLETRANSLATE(J781,""ar"",""en"")"),"#VALUE!")</f>
        <v>#VALUE!</v>
      </c>
      <c r="N781" s="6" t="s">
        <v>3252</v>
      </c>
      <c r="O781" s="10" t="s">
        <v>3253</v>
      </c>
    </row>
    <row r="782" spans="1:15" ht="20.100000000000001" customHeight="1" thickTop="1" thickBot="1">
      <c r="A782" s="1"/>
      <c r="B782" s="22">
        <v>781</v>
      </c>
      <c r="C782" s="22" t="s">
        <v>3254</v>
      </c>
      <c r="D782" s="22" t="s">
        <v>13</v>
      </c>
      <c r="E782" s="23" t="s">
        <v>3255</v>
      </c>
      <c r="F782" s="22" t="str">
        <f ca="1">IFERROR(__xludf.DUMMYFUNCTION("GOOGLETRANSLATE(E782,""ar"",""en"")"),"Tayba Savings Supplies")</f>
        <v>Tayba Savings Supplies</v>
      </c>
      <c r="G782" s="22" t="s">
        <v>3585</v>
      </c>
      <c r="H782" s="24" t="s">
        <v>3587</v>
      </c>
      <c r="I782" s="23" t="s">
        <v>3214</v>
      </c>
      <c r="J782" s="5" t="str">
        <f ca="1">IFERROR(__xludf.DUMMYFUNCTION("GOOGLETRANSLATE(G782,""ar"",""en"")"),"Al Nada neighborhood")</f>
        <v>Al Nada neighborhood</v>
      </c>
      <c r="K782" s="11">
        <v>502444955</v>
      </c>
      <c r="L782" s="11" t="s">
        <v>3048</v>
      </c>
      <c r="M782" s="5" t="str">
        <f ca="1">IFERROR(__xludf.DUMMYFUNCTION("GOOGLETRANSLATE(J782,""ar"",""en"")"),"Grocery number")</f>
        <v>Grocery number</v>
      </c>
      <c r="N782" s="12" t="s">
        <v>3256</v>
      </c>
      <c r="O782" s="10" t="s">
        <v>3257</v>
      </c>
    </row>
    <row r="783" spans="1:15" ht="20.100000000000001" customHeight="1" thickTop="1" thickBot="1">
      <c r="A783" s="1"/>
      <c r="B783" s="22">
        <v>782</v>
      </c>
      <c r="C783" s="22" t="s">
        <v>3258</v>
      </c>
      <c r="D783" s="22" t="s">
        <v>13</v>
      </c>
      <c r="E783" s="22" t="s">
        <v>3259</v>
      </c>
      <c r="F783" s="22" t="str">
        <f ca="1">IFERROR(__xludf.DUMMYFUNCTION("GOOGLETRANSLATE(E783,""ar"",""en"")"),"Masterpieces Foundation")</f>
        <v>Masterpieces Foundation</v>
      </c>
      <c r="G783" s="22" t="s">
        <v>3585</v>
      </c>
      <c r="H783" s="24" t="s">
        <v>3587</v>
      </c>
      <c r="I783" s="23" t="s">
        <v>3214</v>
      </c>
      <c r="J783" s="5" t="str">
        <f ca="1">IFERROR(__xludf.DUMMYFUNCTION("GOOGLETRANSLATE(G783,""ar"",""en"")"),"Al Nada neighborhood")</f>
        <v>Al Nada neighborhood</v>
      </c>
      <c r="K783" s="5">
        <v>559359275</v>
      </c>
      <c r="L783" s="5" t="s">
        <v>294</v>
      </c>
      <c r="M783" s="5" t="str">
        <f ca="1">IFERROR(__xludf.DUMMYFUNCTION("GOOGLETRANSLATE(J783,""ar"",""en"")"),"Mohammed")</f>
        <v>Mohammed</v>
      </c>
      <c r="N783" s="6" t="s">
        <v>3260</v>
      </c>
      <c r="O783" s="10" t="s">
        <v>3261</v>
      </c>
    </row>
    <row r="784" spans="1:15" ht="20.100000000000001" customHeight="1" thickTop="1" thickBot="1">
      <c r="A784" s="1"/>
      <c r="B784" s="22">
        <v>783</v>
      </c>
      <c r="C784" s="22" t="s">
        <v>3262</v>
      </c>
      <c r="D784" s="22" t="s">
        <v>13</v>
      </c>
      <c r="E784" s="23" t="s">
        <v>3263</v>
      </c>
      <c r="F784" s="22" t="str">
        <f ca="1">IFERROR(__xludf.DUMMYFUNCTION("GOOGLETRANSLATE(E784,""ar"",""en"")"),"Huda Al-Hayz Grocery")</f>
        <v>Huda Al-Hayz Grocery</v>
      </c>
      <c r="G784" s="22" t="s">
        <v>3585</v>
      </c>
      <c r="H784" s="24" t="s">
        <v>3587</v>
      </c>
      <c r="I784" s="23" t="s">
        <v>3214</v>
      </c>
      <c r="J784" s="5" t="str">
        <f ca="1">IFERROR(__xludf.DUMMYFUNCTION("GOOGLETRANSLATE(G784,""ar"",""en"")"),"Al Nada neighborhood")</f>
        <v>Al Nada neighborhood</v>
      </c>
      <c r="K784" s="11">
        <v>561645883</v>
      </c>
      <c r="L784" s="11" t="s">
        <v>3264</v>
      </c>
      <c r="M784" s="5" t="str">
        <f ca="1">IFERROR(__xludf.DUMMYFUNCTION("GOOGLETRANSLATE(J784,""ar"",""en"")"),"rightly guided")</f>
        <v>rightly guided</v>
      </c>
      <c r="N784" s="12" t="s">
        <v>3265</v>
      </c>
      <c r="O784" s="10" t="s">
        <v>3266</v>
      </c>
    </row>
    <row r="785" spans="1:15" ht="20.100000000000001" customHeight="1" thickTop="1" thickBot="1">
      <c r="A785" s="1"/>
      <c r="B785" s="22">
        <v>784</v>
      </c>
      <c r="C785" s="22" t="s">
        <v>3267</v>
      </c>
      <c r="D785" s="22" t="s">
        <v>13</v>
      </c>
      <c r="E785" s="22" t="s">
        <v>3268</v>
      </c>
      <c r="F785" s="22" t="str">
        <f ca="1">IFERROR(__xludf.DUMMYFUNCTION("GOOGLETRANSLATE(E785,""ar"",""en"")"),"Business Storm Grocery")</f>
        <v>Business Storm Grocery</v>
      </c>
      <c r="G785" s="22" t="s">
        <v>3585</v>
      </c>
      <c r="H785" s="24" t="s">
        <v>3587</v>
      </c>
      <c r="I785" s="23" t="s">
        <v>3214</v>
      </c>
      <c r="J785" s="5" t="str">
        <f ca="1">IFERROR(__xludf.DUMMYFUNCTION("GOOGLETRANSLATE(G785,""ar"",""en"")"),"Al Nada neighborhood")</f>
        <v>Al Nada neighborhood</v>
      </c>
      <c r="K785" s="5">
        <v>507657994</v>
      </c>
      <c r="L785" s="5" t="s">
        <v>294</v>
      </c>
      <c r="M785" s="5" t="str">
        <f ca="1">IFERROR(__xludf.DUMMYFUNCTION("GOOGLETRANSLATE(J785,""ar"",""en"")"),"Mohammed")</f>
        <v>Mohammed</v>
      </c>
      <c r="N785" s="6" t="s">
        <v>3269</v>
      </c>
      <c r="O785" s="10" t="s">
        <v>3270</v>
      </c>
    </row>
    <row r="786" spans="1:15" ht="20.100000000000001" customHeight="1" thickTop="1" thickBot="1">
      <c r="A786" s="1"/>
      <c r="B786" s="22">
        <v>785</v>
      </c>
      <c r="C786" s="22" t="s">
        <v>3271</v>
      </c>
      <c r="D786" s="22" t="s">
        <v>13</v>
      </c>
      <c r="E786" s="23" t="s">
        <v>3272</v>
      </c>
      <c r="F786" s="22" t="str">
        <f ca="1">IFERROR(__xludf.DUMMYFUNCTION("GOOGLETRANSLATE(E786,""ar"",""en"")"),"Al Ghafa Market")</f>
        <v>Al Ghafa Market</v>
      </c>
      <c r="G786" s="22" t="s">
        <v>3585</v>
      </c>
      <c r="H786" s="24" t="s">
        <v>3587</v>
      </c>
      <c r="I786" s="23" t="s">
        <v>3214</v>
      </c>
      <c r="J786" s="5" t="str">
        <f ca="1">IFERROR(__xludf.DUMMYFUNCTION("GOOGLETRANSLATE(G786,""ar"",""en"")"),"Al Nada neighborhood")</f>
        <v>Al Nada neighborhood</v>
      </c>
      <c r="K786" s="11"/>
      <c r="L786" s="11"/>
      <c r="M786" s="5" t="str">
        <f ca="1">IFERROR(__xludf.DUMMYFUNCTION("GOOGLETRANSLATE(J786,""ar"",""en"")"),"#VALUE!")</f>
        <v>#VALUE!</v>
      </c>
      <c r="N786" s="12" t="s">
        <v>3273</v>
      </c>
      <c r="O786" s="10" t="s">
        <v>3274</v>
      </c>
    </row>
    <row r="787" spans="1:15" ht="20.100000000000001" customHeight="1" thickTop="1" thickBot="1">
      <c r="A787" s="1"/>
      <c r="B787" s="22">
        <v>786</v>
      </c>
      <c r="C787" s="22" t="s">
        <v>3275</v>
      </c>
      <c r="D787" s="22" t="s">
        <v>13</v>
      </c>
      <c r="E787" s="22" t="s">
        <v>3276</v>
      </c>
      <c r="F787" s="22" t="str">
        <f ca="1">IFERROR(__xludf.DUMMYFUNCTION("GOOGLETRANSLATE(E787,""ar"",""en"")"),"Nouf Al-Mutairi Provisions")</f>
        <v>Nouf Al-Mutairi Provisions</v>
      </c>
      <c r="G787" s="22" t="s">
        <v>3585</v>
      </c>
      <c r="H787" s="24" t="s">
        <v>3587</v>
      </c>
      <c r="I787" s="23" t="s">
        <v>3214</v>
      </c>
      <c r="J787" s="5" t="str">
        <f ca="1">IFERROR(__xludf.DUMMYFUNCTION("GOOGLETRANSLATE(G787,""ar"",""en"")"),"Al Nada neighborhood")</f>
        <v>Al Nada neighborhood</v>
      </c>
      <c r="K787" s="5">
        <v>537920592</v>
      </c>
      <c r="L787" s="5"/>
      <c r="M787" s="5" t="str">
        <f ca="1">IFERROR(__xludf.DUMMYFUNCTION("GOOGLETRANSLATE(J787,""ar"",""en"")"),"#VALUE!")</f>
        <v>#VALUE!</v>
      </c>
      <c r="N787" s="6" t="s">
        <v>3277</v>
      </c>
      <c r="O787" s="10" t="s">
        <v>3278</v>
      </c>
    </row>
    <row r="788" spans="1:15" ht="20.100000000000001" customHeight="1" thickTop="1" thickBot="1">
      <c r="A788" s="1"/>
      <c r="B788" s="22">
        <v>787</v>
      </c>
      <c r="C788" s="22" t="s">
        <v>3279</v>
      </c>
      <c r="D788" s="22" t="s">
        <v>13</v>
      </c>
      <c r="E788" s="23" t="s">
        <v>3280</v>
      </c>
      <c r="F788" s="22" t="str">
        <f ca="1">IFERROR(__xludf.DUMMYFUNCTION("GOOGLETRANSLATE(E788,""ar"",""en"")"),"Ma Markt's determination")</f>
        <v>Ma Markt's determination</v>
      </c>
      <c r="G788" s="22" t="s">
        <v>3585</v>
      </c>
      <c r="H788" s="24" t="s">
        <v>3587</v>
      </c>
      <c r="I788" s="23" t="s">
        <v>3214</v>
      </c>
      <c r="J788" s="5" t="str">
        <f ca="1">IFERROR(__xludf.DUMMYFUNCTION("GOOGLETRANSLATE(G788,""ar"",""en"")"),"Al Nada neighborhood")</f>
        <v>Al Nada neighborhood</v>
      </c>
      <c r="K788" s="11">
        <v>545249752</v>
      </c>
      <c r="L788" s="11" t="s">
        <v>3281</v>
      </c>
      <c r="M788" s="5" t="str">
        <f ca="1">IFERROR(__xludf.DUMMYFUNCTION("GOOGLETRANSLATE(J788,""ar"",""en"")"),"Abdullah Ba Haj")</f>
        <v>Abdullah Ba Haj</v>
      </c>
      <c r="N788" s="12" t="s">
        <v>3282</v>
      </c>
      <c r="O788" s="10" t="s">
        <v>3283</v>
      </c>
    </row>
    <row r="789" spans="1:15" ht="20.100000000000001" customHeight="1" thickTop="1" thickBot="1">
      <c r="A789" s="1"/>
      <c r="B789" s="22">
        <v>788</v>
      </c>
      <c r="C789" s="22" t="s">
        <v>3284</v>
      </c>
      <c r="D789" s="22" t="s">
        <v>13</v>
      </c>
      <c r="E789" s="22" t="s">
        <v>3677</v>
      </c>
      <c r="F789" s="22" t="str">
        <f ca="1">IFERROR(__xludf.DUMMYFUNCTION("GOOGLETRANSLATE(E789,""ar"",""en"")"),"Al-Drees Station, Ard Al-Arab Company")</f>
        <v>Al-Drees Station, Ard Al-Arab Company</v>
      </c>
      <c r="G789" s="22" t="s">
        <v>3585</v>
      </c>
      <c r="H789" s="24" t="s">
        <v>3587</v>
      </c>
      <c r="I789" s="23" t="s">
        <v>3214</v>
      </c>
      <c r="J789" s="5" t="str">
        <f ca="1">IFERROR(__xludf.DUMMYFUNCTION("GOOGLETRANSLATE(G789,""ar"",""en"")"),"Al-Nadi neighborhood")</f>
        <v>Al-Nadi neighborhood</v>
      </c>
      <c r="K789" s="5">
        <v>539881985</v>
      </c>
      <c r="L789" s="5"/>
      <c r="M789" s="5" t="str">
        <f ca="1">IFERROR(__xludf.DUMMYFUNCTION("GOOGLETRANSLATE(J789,""ar"",""en"")"),"#VALUE!")</f>
        <v>#VALUE!</v>
      </c>
      <c r="N789" s="6" t="s">
        <v>3285</v>
      </c>
      <c r="O789" s="10" t="s">
        <v>3286</v>
      </c>
    </row>
    <row r="790" spans="1:15" ht="20.100000000000001" customHeight="1" thickTop="1" thickBot="1">
      <c r="A790" s="1"/>
      <c r="B790" s="22">
        <v>789</v>
      </c>
      <c r="C790" s="22" t="s">
        <v>3287</v>
      </c>
      <c r="D790" s="22" t="s">
        <v>13</v>
      </c>
      <c r="E790" s="23" t="s">
        <v>930</v>
      </c>
      <c r="F790" s="22" t="str">
        <f ca="1">IFERROR(__xludf.DUMMYFUNCTION("GOOGLETRANSLATE(E790,""ar"",""en"")"),"High-end food markets")</f>
        <v>High-end food markets</v>
      </c>
      <c r="G790" s="22" t="s">
        <v>3585</v>
      </c>
      <c r="H790" s="24" t="s">
        <v>3587</v>
      </c>
      <c r="I790" s="23" t="s">
        <v>3676</v>
      </c>
      <c r="J790" s="5" t="str">
        <f ca="1">IFERROR(__xludf.DUMMYFUNCTION("GOOGLETRANSLATE(G790,""ar"",""en"")"),"#VALUE!")</f>
        <v>#VALUE!</v>
      </c>
      <c r="K790" s="11">
        <v>552554928</v>
      </c>
      <c r="L790" s="11" t="s">
        <v>3288</v>
      </c>
      <c r="M790" s="5" t="str">
        <f ca="1">IFERROR(__xludf.DUMMYFUNCTION("GOOGLETRANSLATE(J790,""ar"",""en"")"),"Khaled Al-Kathiri")</f>
        <v>Khaled Al-Kathiri</v>
      </c>
      <c r="N790" s="12" t="s">
        <v>3289</v>
      </c>
      <c r="O790" s="10" t="s">
        <v>3290</v>
      </c>
    </row>
    <row r="791" spans="1:15" ht="20.100000000000001" customHeight="1" thickTop="1" thickBot="1">
      <c r="A791" s="1"/>
      <c r="B791" s="22">
        <v>790</v>
      </c>
      <c r="C791" s="22" t="s">
        <v>3291</v>
      </c>
      <c r="D791" s="22" t="s">
        <v>13</v>
      </c>
      <c r="E791" s="22" t="s">
        <v>3292</v>
      </c>
      <c r="F791" s="22" t="str">
        <f ca="1">IFERROR(__xludf.DUMMYFUNCTION("GOOGLETRANSLATE(E791,""ar"",""en"")"),"Amwaj Market")</f>
        <v>Amwaj Market</v>
      </c>
      <c r="G791" s="22" t="s">
        <v>3585</v>
      </c>
      <c r="H791" s="24" t="s">
        <v>3587</v>
      </c>
      <c r="I791" s="22" t="s">
        <v>3678</v>
      </c>
      <c r="J791" s="5" t="str">
        <f ca="1">IFERROR(__xludf.DUMMYFUNCTION("GOOGLETRANSLATE(G791,""ar"",""en"")"),"#VALUE!")</f>
        <v>#VALUE!</v>
      </c>
      <c r="K791" s="5">
        <v>501647064</v>
      </c>
      <c r="L791" s="5"/>
      <c r="M791" s="5" t="str">
        <f ca="1">IFERROR(__xludf.DUMMYFUNCTION("GOOGLETRANSLATE(J791,""ar"",""en"")"),"#VALUE!")</f>
        <v>#VALUE!</v>
      </c>
      <c r="N791" s="6" t="s">
        <v>3293</v>
      </c>
      <c r="O791" s="10" t="s">
        <v>3294</v>
      </c>
    </row>
    <row r="792" spans="1:15" ht="20.100000000000001" customHeight="1" thickTop="1" thickBot="1">
      <c r="A792" s="1"/>
      <c r="B792" s="22">
        <v>791</v>
      </c>
      <c r="C792" s="22" t="s">
        <v>3295</v>
      </c>
      <c r="D792" s="22" t="s">
        <v>13</v>
      </c>
      <c r="E792" s="23" t="s">
        <v>3296</v>
      </c>
      <c r="F792" s="22" t="str">
        <f ca="1">IFERROR(__xludf.DUMMYFUNCTION("GOOGLETRANSLATE(E792,""ar"",""en"")"),"Kayan Al-Bathaa Markets")</f>
        <v>Kayan Al-Bathaa Markets</v>
      </c>
      <c r="G792" s="22" t="s">
        <v>3585</v>
      </c>
      <c r="H792" s="24" t="s">
        <v>3587</v>
      </c>
      <c r="I792" s="23" t="s">
        <v>3678</v>
      </c>
      <c r="J792" s="5" t="str">
        <f ca="1">IFERROR(__xludf.DUMMYFUNCTION("GOOGLETRANSLATE(G792,""ar"",""en"")"),"#VALUE!")</f>
        <v>#VALUE!</v>
      </c>
      <c r="K792" s="11">
        <v>559898230</v>
      </c>
      <c r="L792" s="11" t="s">
        <v>3297</v>
      </c>
      <c r="M792" s="5" t="str">
        <f ca="1">IFERROR(__xludf.DUMMYFUNCTION("GOOGLETRANSLATE(J792,""ar"",""en"")"),"Abdullah Ba Wazir")</f>
        <v>Abdullah Ba Wazir</v>
      </c>
      <c r="N792" s="12" t="s">
        <v>3298</v>
      </c>
      <c r="O792" s="10" t="s">
        <v>3299</v>
      </c>
    </row>
    <row r="793" spans="1:15" ht="20.100000000000001" customHeight="1" thickTop="1" thickBot="1">
      <c r="A793" s="1"/>
      <c r="B793" s="22">
        <v>792</v>
      </c>
      <c r="C793" s="22" t="s">
        <v>3300</v>
      </c>
      <c r="D793" s="22" t="s">
        <v>13</v>
      </c>
      <c r="E793" s="22" t="s">
        <v>809</v>
      </c>
      <c r="F793" s="22" t="str">
        <f ca="1">IFERROR(__xludf.DUMMYFUNCTION("GOOGLETRANSLATE(E793,""ar"",""en"")"),"Food Supply Company")</f>
        <v>Food Supply Company</v>
      </c>
      <c r="G793" s="22" t="s">
        <v>3585</v>
      </c>
      <c r="H793" s="24" t="s">
        <v>3587</v>
      </c>
      <c r="I793" s="22" t="s">
        <v>3678</v>
      </c>
      <c r="J793" s="5" t="str">
        <f ca="1">IFERROR(__xludf.DUMMYFUNCTION("GOOGLETRANSLATE(G793,""ar"",""en"")"),"#VALUE!")</f>
        <v>#VALUE!</v>
      </c>
      <c r="K793" s="5"/>
      <c r="L793" s="5"/>
      <c r="M793" s="5" t="str">
        <f ca="1">IFERROR(__xludf.DUMMYFUNCTION("GOOGLETRANSLATE(J793,""ar"",""en"")"),"#VALUE!")</f>
        <v>#VALUE!</v>
      </c>
      <c r="N793" s="6" t="s">
        <v>3301</v>
      </c>
      <c r="O793" s="10" t="s">
        <v>3302</v>
      </c>
    </row>
    <row r="794" spans="1:15" ht="20.100000000000001" customHeight="1" thickTop="1" thickBot="1">
      <c r="A794" s="1"/>
      <c r="B794" s="22">
        <v>793</v>
      </c>
      <c r="C794" s="22" t="s">
        <v>3303</v>
      </c>
      <c r="D794" s="22" t="s">
        <v>13</v>
      </c>
      <c r="E794" s="23" t="s">
        <v>3304</v>
      </c>
      <c r="F794" s="22" t="str">
        <f ca="1">IFERROR(__xludf.DUMMYFUNCTION("GOOGLETRANSLATE(E794,""ar"",""en"")"),"Walmart Markets")</f>
        <v>Walmart Markets</v>
      </c>
      <c r="G794" s="22" t="s">
        <v>3585</v>
      </c>
      <c r="H794" s="24" t="s">
        <v>3587</v>
      </c>
      <c r="I794" s="23" t="s">
        <v>3679</v>
      </c>
      <c r="J794" s="5" t="str">
        <f ca="1">IFERROR(__xludf.DUMMYFUNCTION("GOOGLETRANSLATE(G794,""ar"",""en"")"),"#VALUE!")</f>
        <v>#VALUE!</v>
      </c>
      <c r="K794" s="11">
        <v>553343585</v>
      </c>
      <c r="L794" s="11" t="s">
        <v>361</v>
      </c>
      <c r="M794" s="5" t="str">
        <f ca="1">IFERROR(__xludf.DUMMYFUNCTION("GOOGLETRANSLATE(J794,""ar"",""en"")"),"Ahmed")</f>
        <v>Ahmed</v>
      </c>
      <c r="N794" s="12" t="s">
        <v>3305</v>
      </c>
      <c r="O794" s="10" t="s">
        <v>3306</v>
      </c>
    </row>
    <row r="795" spans="1:15" ht="20.100000000000001" customHeight="1" thickTop="1" thickBot="1">
      <c r="A795" s="1"/>
      <c r="B795" s="22">
        <v>794</v>
      </c>
      <c r="C795" s="22" t="s">
        <v>3307</v>
      </c>
      <c r="D795" s="22" t="s">
        <v>13</v>
      </c>
      <c r="E795" s="22" t="s">
        <v>3308</v>
      </c>
      <c r="F795" s="22" t="str">
        <f ca="1">IFERROR(__xludf.DUMMYFUNCTION("GOOGLETRANSLATE(E795,""ar"",""en"")"),"Middles Markets")</f>
        <v>Middles Markets</v>
      </c>
      <c r="G795" s="22" t="s">
        <v>3585</v>
      </c>
      <c r="H795" s="24" t="s">
        <v>3587</v>
      </c>
      <c r="I795" s="22" t="s">
        <v>3680</v>
      </c>
      <c r="J795" s="5" t="str">
        <f ca="1">IFERROR(__xludf.DUMMYFUNCTION("GOOGLETRANSLATE(G795,""ar"",""en"")"),"Interface")</f>
        <v>Interface</v>
      </c>
      <c r="K795" s="5">
        <v>567110120</v>
      </c>
      <c r="L795" s="5" t="s">
        <v>3309</v>
      </c>
      <c r="M795" s="5" t="str">
        <f ca="1">IFERROR(__xludf.DUMMYFUNCTION("GOOGLETRANSLATE(J795,""ar"",""en"")"),"Aref")</f>
        <v>Aref</v>
      </c>
      <c r="N795" s="6" t="s">
        <v>3310</v>
      </c>
      <c r="O795" s="10" t="s">
        <v>3311</v>
      </c>
    </row>
    <row r="796" spans="1:15" ht="20.100000000000001" customHeight="1" thickTop="1" thickBot="1">
      <c r="A796" s="1"/>
      <c r="B796" s="22">
        <v>795</v>
      </c>
      <c r="C796" s="22" t="s">
        <v>3312</v>
      </c>
      <c r="D796" s="22" t="s">
        <v>13</v>
      </c>
      <c r="E796" s="23" t="s">
        <v>3313</v>
      </c>
      <c r="F796" s="22" t="str">
        <f ca="1">IFERROR(__xludf.DUMMYFUNCTION("GOOGLETRANSLATE(E796,""ar"",""en"")"),"Seoul East Markets")</f>
        <v>Seoul East Markets</v>
      </c>
      <c r="G796" s="22" t="s">
        <v>3585</v>
      </c>
      <c r="H796" s="24" t="s">
        <v>3587</v>
      </c>
      <c r="I796" s="22" t="s">
        <v>3680</v>
      </c>
      <c r="J796" s="5" t="str">
        <f ca="1">IFERROR(__xludf.DUMMYFUNCTION("GOOGLETRANSLATE(G796,""ar"",""en"")"),"Interface")</f>
        <v>Interface</v>
      </c>
      <c r="K796" s="11">
        <v>509207326</v>
      </c>
      <c r="L796" s="11" t="s">
        <v>3314</v>
      </c>
      <c r="M796" s="5" t="str">
        <f ca="1">IFERROR(__xludf.DUMMYFUNCTION("GOOGLETRANSLATE(J796,""ar"",""en"")"),"Two boys")</f>
        <v>Two boys</v>
      </c>
      <c r="N796" s="12" t="s">
        <v>3315</v>
      </c>
      <c r="O796" s="10" t="s">
        <v>3316</v>
      </c>
    </row>
    <row r="797" spans="1:15" ht="20.100000000000001" customHeight="1" thickTop="1" thickBot="1">
      <c r="A797" s="1"/>
      <c r="B797" s="22">
        <v>796</v>
      </c>
      <c r="C797" s="22" t="s">
        <v>3317</v>
      </c>
      <c r="D797" s="22" t="s">
        <v>13</v>
      </c>
      <c r="E797" s="22" t="s">
        <v>3699</v>
      </c>
      <c r="F797" s="22" t="str">
        <f ca="1">IFERROR(__xludf.DUMMYFUNCTION("GOOGLETRANSLATE(E797,""ar"",""en"")"),"Values ​​of the blessing - the facade")</f>
        <v>Values ​​of the blessing - the facade</v>
      </c>
      <c r="G797" s="22" t="s">
        <v>3585</v>
      </c>
      <c r="H797" s="24" t="s">
        <v>3587</v>
      </c>
      <c r="I797" s="22" t="s">
        <v>3680</v>
      </c>
      <c r="J797" s="5" t="str">
        <f ca="1">IFERROR(__xludf.DUMMYFUNCTION("GOOGLETRANSLATE(G797,""ar"",""en"")"),"Interface")</f>
        <v>Interface</v>
      </c>
      <c r="K797" s="5">
        <v>535507720</v>
      </c>
      <c r="L797" s="5" t="s">
        <v>83</v>
      </c>
      <c r="M797" s="5" t="str">
        <f ca="1">IFERROR(__xludf.DUMMYFUNCTION("GOOGLETRANSLATE(J797,""ar"",""en"")"),"on")</f>
        <v>on</v>
      </c>
      <c r="N797" s="6" t="s">
        <v>3318</v>
      </c>
      <c r="O797" s="10" t="s">
        <v>3319</v>
      </c>
    </row>
    <row r="798" spans="1:15" ht="20.100000000000001" customHeight="1" thickTop="1" thickBot="1">
      <c r="A798" s="1"/>
      <c r="B798" s="22">
        <v>797</v>
      </c>
      <c r="C798" s="22" t="s">
        <v>3320</v>
      </c>
      <c r="D798" s="22" t="s">
        <v>13</v>
      </c>
      <c r="E798" s="23" t="s">
        <v>3321</v>
      </c>
      <c r="F798" s="22" t="str">
        <f ca="1">IFERROR(__xludf.DUMMYFUNCTION("GOOGLETRANSLATE(E798,""ar"",""en"")"),"Roof Al Jawhara Supermarkets")</f>
        <v>Roof Al Jawhara Supermarkets</v>
      </c>
      <c r="G798" s="22" t="s">
        <v>3585</v>
      </c>
      <c r="H798" s="24" t="s">
        <v>3587</v>
      </c>
      <c r="I798" s="22" t="s">
        <v>3680</v>
      </c>
      <c r="J798" s="5" t="str">
        <f ca="1">IFERROR(__xludf.DUMMYFUNCTION("GOOGLETRANSLATE(G798,""ar"",""en"")"),"Interface")</f>
        <v>Interface</v>
      </c>
      <c r="K798" s="11">
        <v>564761911</v>
      </c>
      <c r="L798" s="11" t="s">
        <v>209</v>
      </c>
      <c r="M798" s="5" t="str">
        <f ca="1">IFERROR(__xludf.DUMMYFUNCTION("GOOGLETRANSLATE(J798,""ar"",""en"")"),"Mahmoud")</f>
        <v>Mahmoud</v>
      </c>
      <c r="N798" s="12" t="s">
        <v>3322</v>
      </c>
      <c r="O798" s="10" t="s">
        <v>3323</v>
      </c>
    </row>
    <row r="799" spans="1:15" ht="20.100000000000001" customHeight="1" thickTop="1" thickBot="1">
      <c r="A799" s="1"/>
      <c r="B799" s="22">
        <v>798</v>
      </c>
      <c r="C799" s="22" t="s">
        <v>3324</v>
      </c>
      <c r="D799" s="22" t="s">
        <v>13</v>
      </c>
      <c r="E799" s="22" t="s">
        <v>3325</v>
      </c>
      <c r="F799" s="22" t="str">
        <f ca="1">IFERROR(__xludf.DUMMYFUNCTION("GOOGLETRANSLATE(E799,""ar"",""en"")"),"Al-Multaqa Al-Tawfeer Markets and Bakeries")</f>
        <v>Al-Multaqa Al-Tawfeer Markets and Bakeries</v>
      </c>
      <c r="G799" s="22" t="s">
        <v>3585</v>
      </c>
      <c r="H799" s="24" t="s">
        <v>3587</v>
      </c>
      <c r="I799" s="22" t="s">
        <v>3680</v>
      </c>
      <c r="J799" s="5" t="str">
        <f ca="1">IFERROR(__xludf.DUMMYFUNCTION("GOOGLETRANSLATE(G799,""ar"",""en"")"),"Interface")</f>
        <v>Interface</v>
      </c>
      <c r="K799" s="5">
        <v>502735852</v>
      </c>
      <c r="L799" s="5" t="s">
        <v>3326</v>
      </c>
      <c r="M799" s="5" t="str">
        <f ca="1">IFERROR(__xludf.DUMMYFUNCTION("GOOGLETRANSLATE(J799,""ar"",""en"")"),"Rabee Abu Ahmed")</f>
        <v>Rabee Abu Ahmed</v>
      </c>
      <c r="N799" s="6" t="s">
        <v>3327</v>
      </c>
      <c r="O799" s="10" t="s">
        <v>3328</v>
      </c>
    </row>
    <row r="800" spans="1:15" ht="20.100000000000001" customHeight="1" thickTop="1" thickBot="1">
      <c r="A800" s="1"/>
      <c r="B800" s="22">
        <v>799</v>
      </c>
      <c r="C800" s="22" t="s">
        <v>3329</v>
      </c>
      <c r="D800" s="22" t="s">
        <v>13</v>
      </c>
      <c r="E800" s="23" t="s">
        <v>903</v>
      </c>
      <c r="F800" s="22" t="str">
        <f ca="1">IFERROR(__xludf.DUMMYFUNCTION("GOOGLETRANSLATE(E800,""ar"",""en"")"),"Narges Markets and Bakeries")</f>
        <v>Narges Markets and Bakeries</v>
      </c>
      <c r="G800" s="22" t="s">
        <v>3585</v>
      </c>
      <c r="H800" s="24" t="s">
        <v>3587</v>
      </c>
      <c r="I800" s="22" t="s">
        <v>3680</v>
      </c>
      <c r="J800" s="5" t="str">
        <f ca="1">IFERROR(__xludf.DUMMYFUNCTION("GOOGLETRANSLATE(G800,""ar"",""en"")"),"Destination")</f>
        <v>Destination</v>
      </c>
      <c r="K800" s="11">
        <v>558375726</v>
      </c>
      <c r="L800" s="11" t="s">
        <v>103</v>
      </c>
      <c r="M800" s="5" t="str">
        <f ca="1">IFERROR(__xludf.DUMMYFUNCTION("GOOGLETRANSLATE(J800,""ar"",""en"")"),"Salem")</f>
        <v>Salem</v>
      </c>
      <c r="N800" s="12" t="s">
        <v>3330</v>
      </c>
      <c r="O800" s="10" t="s">
        <v>3331</v>
      </c>
    </row>
    <row r="801" spans="1:15" ht="20.100000000000001" customHeight="1" thickTop="1" thickBot="1">
      <c r="A801" s="1"/>
      <c r="B801" s="22">
        <v>800</v>
      </c>
      <c r="C801" s="22" t="s">
        <v>3332</v>
      </c>
      <c r="D801" s="22" t="s">
        <v>13</v>
      </c>
      <c r="E801" s="22" t="s">
        <v>3333</v>
      </c>
      <c r="F801" s="22" t="str">
        <f ca="1">IFERROR(__xludf.DUMMYFUNCTION("GOOGLETRANSLATE(E801,""ar"",""en"")"),"Nahla Al Fursan Shopping Center")</f>
        <v>Nahla Al Fursan Shopping Center</v>
      </c>
      <c r="G801" s="22" t="s">
        <v>3585</v>
      </c>
      <c r="H801" s="24" t="s">
        <v>3587</v>
      </c>
      <c r="I801" s="22" t="s">
        <v>3334</v>
      </c>
      <c r="J801" s="5" t="str">
        <f ca="1">IFERROR(__xludf.DUMMYFUNCTION("GOOGLETRANSLATE(G801,""ar"",""en"")"),"Al Fursan neighborhood")</f>
        <v>Al Fursan neighborhood</v>
      </c>
      <c r="K801" s="5">
        <v>554449230</v>
      </c>
      <c r="L801" s="5" t="s">
        <v>1619</v>
      </c>
      <c r="M801" s="5" t="str">
        <f ca="1">IFERROR(__xludf.DUMMYFUNCTION("GOOGLETRANSLATE(J801,""ar"",""en"")"),"Abu Muhammad")</f>
        <v>Abu Muhammad</v>
      </c>
      <c r="N801" s="6" t="s">
        <v>3335</v>
      </c>
      <c r="O801" s="10" t="s">
        <v>3336</v>
      </c>
    </row>
    <row r="802" spans="1:15" ht="20.100000000000001" customHeight="1" thickTop="1" thickBot="1">
      <c r="A802" s="1"/>
      <c r="B802" s="22">
        <v>801</v>
      </c>
      <c r="C802" s="22" t="s">
        <v>3337</v>
      </c>
      <c r="D802" s="22" t="s">
        <v>13</v>
      </c>
      <c r="E802" s="23" t="s">
        <v>3338</v>
      </c>
      <c r="F802" s="22" t="str">
        <f ca="1">IFERROR(__xludf.DUMMYFUNCTION("GOOGLETRANSLATE(E802,""ar"",""en"")"),"Bab Al Shati Central Markets")</f>
        <v>Bab Al Shati Central Markets</v>
      </c>
      <c r="G802" s="22" t="s">
        <v>3585</v>
      </c>
      <c r="H802" s="24" t="s">
        <v>3587</v>
      </c>
      <c r="I802" s="23" t="s">
        <v>3334</v>
      </c>
      <c r="J802" s="5" t="str">
        <f ca="1">IFERROR(__xludf.DUMMYFUNCTION("GOOGLETRANSLATE(G802,""ar"",""en"")"),"Al Fursan neighborhood")</f>
        <v>Al Fursan neighborhood</v>
      </c>
      <c r="K802" s="11">
        <v>571589343</v>
      </c>
      <c r="L802" s="11" t="s">
        <v>3339</v>
      </c>
      <c r="M802" s="5" t="str">
        <f ca="1">IFERROR(__xludf.DUMMYFUNCTION("GOOGLETRANSLATE(J802,""ar"",""en"")"),"Rice")</f>
        <v>Rice</v>
      </c>
      <c r="N802" s="12" t="s">
        <v>3340</v>
      </c>
      <c r="O802" s="10" t="s">
        <v>3341</v>
      </c>
    </row>
    <row r="803" spans="1:15" ht="20.100000000000001" customHeight="1" thickTop="1" thickBot="1">
      <c r="A803" s="1"/>
      <c r="B803" s="22">
        <v>802</v>
      </c>
      <c r="C803" s="22" t="s">
        <v>3342</v>
      </c>
      <c r="D803" s="22" t="s">
        <v>13</v>
      </c>
      <c r="E803" s="22" t="s">
        <v>3343</v>
      </c>
      <c r="F803" s="22" t="str">
        <f ca="1">IFERROR(__xludf.DUMMYFUNCTION("GOOGLETRANSLATE(E803,""ar"",""en"")"),"Oasis Shopping Supermarket")</f>
        <v>Oasis Shopping Supermarket</v>
      </c>
      <c r="G803" s="22" t="s">
        <v>3585</v>
      </c>
      <c r="H803" s="24" t="s">
        <v>3587</v>
      </c>
      <c r="I803" s="22" t="s">
        <v>3334</v>
      </c>
      <c r="J803" s="5" t="str">
        <f ca="1">IFERROR(__xludf.DUMMYFUNCTION("GOOGLETRANSLATE(G803,""ar"",""en"")"),"Al Fursan neighborhood")</f>
        <v>Al Fursan neighborhood</v>
      </c>
      <c r="K803" s="5">
        <v>509859535</v>
      </c>
      <c r="L803" s="5" t="s">
        <v>3344</v>
      </c>
      <c r="M803" s="5" t="str">
        <f ca="1">IFERROR(__xludf.DUMMYFUNCTION("GOOGLETRANSLATE(J803,""ar"",""en"")"),"Abdul Salam")</f>
        <v>Abdul Salam</v>
      </c>
      <c r="N803" s="6" t="s">
        <v>3345</v>
      </c>
      <c r="O803" s="10" t="s">
        <v>3346</v>
      </c>
    </row>
    <row r="804" spans="1:15" ht="20.100000000000001" customHeight="1" thickTop="1" thickBot="1">
      <c r="A804" s="1"/>
      <c r="B804" s="22">
        <v>803</v>
      </c>
      <c r="C804" s="22" t="s">
        <v>3347</v>
      </c>
      <c r="D804" s="22" t="s">
        <v>13</v>
      </c>
      <c r="E804" s="23" t="s">
        <v>3348</v>
      </c>
      <c r="F804" s="22" t="str">
        <f ca="1">IFERROR(__xludf.DUMMYFUNCTION("GOOGLETRANSLATE(E804,""ar"",""en"")"),"Steel Supplies")</f>
        <v>Steel Supplies</v>
      </c>
      <c r="G804" s="22" t="s">
        <v>3585</v>
      </c>
      <c r="H804" s="24" t="s">
        <v>3587</v>
      </c>
      <c r="I804" s="23" t="s">
        <v>3334</v>
      </c>
      <c r="J804" s="5" t="str">
        <f ca="1">IFERROR(__xludf.DUMMYFUNCTION("GOOGLETRANSLATE(G804,""ar"",""en"")"),"Al Fursan neighborhood")</f>
        <v>Al Fursan neighborhood</v>
      </c>
      <c r="K804" s="11">
        <v>538509958</v>
      </c>
      <c r="L804" s="11" t="s">
        <v>103</v>
      </c>
      <c r="M804" s="5" t="str">
        <f ca="1">IFERROR(__xludf.DUMMYFUNCTION("GOOGLETRANSLATE(J804,""ar"",""en"")"),"Salem")</f>
        <v>Salem</v>
      </c>
      <c r="N804" s="12" t="s">
        <v>3349</v>
      </c>
      <c r="O804" s="10" t="s">
        <v>3350</v>
      </c>
    </row>
    <row r="805" spans="1:15" ht="20.100000000000001" customHeight="1" thickTop="1" thickBot="1">
      <c r="A805" s="1"/>
      <c r="B805" s="22">
        <v>804</v>
      </c>
      <c r="C805" s="22" t="s">
        <v>3351</v>
      </c>
      <c r="D805" s="22" t="s">
        <v>13</v>
      </c>
      <c r="E805" s="22" t="s">
        <v>3352</v>
      </c>
      <c r="F805" s="22" t="str">
        <f ca="1">IFERROR(__xludf.DUMMYFUNCTION("GOOGLETRANSLATE(E805,""ar"",""en"")"),"Goodness Influence Supplies 4")</f>
        <v>Goodness Influence Supplies 4</v>
      </c>
      <c r="G805" s="22" t="s">
        <v>3585</v>
      </c>
      <c r="H805" s="24" t="s">
        <v>3587</v>
      </c>
      <c r="I805" s="22" t="s">
        <v>3334</v>
      </c>
      <c r="J805" s="5" t="str">
        <f ca="1">IFERROR(__xludf.DUMMYFUNCTION("GOOGLETRANSLATE(G805,""ar"",""en"")"),"Al Fursan neighborhood")</f>
        <v>Al Fursan neighborhood</v>
      </c>
      <c r="K805" s="5">
        <v>537821756</v>
      </c>
      <c r="L805" s="5" t="s">
        <v>2296</v>
      </c>
      <c r="M805" s="5" t="str">
        <f ca="1">IFERROR(__xludf.DUMMYFUNCTION("GOOGLETRANSLATE(J805,""ar"",""en"")"),"Abu Abdullah")</f>
        <v>Abu Abdullah</v>
      </c>
      <c r="N805" s="6" t="s">
        <v>3353</v>
      </c>
      <c r="O805" s="10" t="s">
        <v>3354</v>
      </c>
    </row>
    <row r="806" spans="1:15" ht="20.100000000000001" customHeight="1" thickTop="1" thickBot="1">
      <c r="A806" s="1"/>
      <c r="B806" s="22">
        <v>805</v>
      </c>
      <c r="C806" s="22" t="s">
        <v>3355</v>
      </c>
      <c r="D806" s="22" t="s">
        <v>13</v>
      </c>
      <c r="E806" s="23" t="s">
        <v>3356</v>
      </c>
      <c r="F806" s="22" t="str">
        <f ca="1">IFERROR(__xludf.DUMMYFUNCTION("GOOGLETRANSLATE(E806,""ar"",""en"")"),"Pride of the Knights")</f>
        <v>Pride of the Knights</v>
      </c>
      <c r="G806" s="22" t="s">
        <v>3585</v>
      </c>
      <c r="H806" s="24" t="s">
        <v>3587</v>
      </c>
      <c r="I806" s="23" t="s">
        <v>3334</v>
      </c>
      <c r="J806" s="5" t="str">
        <f ca="1">IFERROR(__xludf.DUMMYFUNCTION("GOOGLETRANSLATE(G806,""ar"",""en"")"),"Al Fursan neighborhood")</f>
        <v>Al Fursan neighborhood</v>
      </c>
      <c r="K806" s="11">
        <v>567778497</v>
      </c>
      <c r="L806" s="11" t="s">
        <v>698</v>
      </c>
      <c r="M806" s="5" t="str">
        <f ca="1">IFERROR(__xludf.DUMMYFUNCTION("GOOGLETRANSLATE(J806,""ar"",""en"")"),"Abu Khalid")</f>
        <v>Abu Khalid</v>
      </c>
      <c r="N806" s="12" t="s">
        <v>3357</v>
      </c>
      <c r="O806" s="10" t="s">
        <v>3358</v>
      </c>
    </row>
    <row r="807" spans="1:15" ht="20.100000000000001" customHeight="1" thickTop="1" thickBot="1">
      <c r="A807" s="1"/>
      <c r="B807" s="22">
        <v>806</v>
      </c>
      <c r="C807" s="22" t="s">
        <v>3359</v>
      </c>
      <c r="D807" s="22" t="s">
        <v>13</v>
      </c>
      <c r="E807" s="22" t="s">
        <v>3360</v>
      </c>
      <c r="F807" s="22" t="str">
        <f ca="1">IFERROR(__xludf.DUMMYFUNCTION("GOOGLETRANSLATE(E807,""ar"",""en"")"),"Food House")</f>
        <v>Food House</v>
      </c>
      <c r="G807" s="22" t="s">
        <v>3585</v>
      </c>
      <c r="H807" s="24" t="s">
        <v>3587</v>
      </c>
      <c r="I807" s="22" t="s">
        <v>3334</v>
      </c>
      <c r="J807" s="5" t="str">
        <f ca="1">IFERROR(__xludf.DUMMYFUNCTION("GOOGLETRANSLATE(G807,""ar"",""en"")"),"Al Fursan neighborhood")</f>
        <v>Al Fursan neighborhood</v>
      </c>
      <c r="K807" s="5">
        <v>532256811</v>
      </c>
      <c r="L807" s="5"/>
      <c r="M807" s="5" t="str">
        <f ca="1">IFERROR(__xludf.DUMMYFUNCTION("GOOGLETRANSLATE(J807,""ar"",""en"")"),"#VALUE!")</f>
        <v>#VALUE!</v>
      </c>
      <c r="N807" s="6"/>
      <c r="O807" s="15"/>
    </row>
    <row r="808" spans="1:15" ht="20.100000000000001" customHeight="1" thickTop="1" thickBot="1">
      <c r="A808" s="1"/>
      <c r="B808" s="22">
        <v>807</v>
      </c>
      <c r="C808" s="22" t="s">
        <v>3361</v>
      </c>
      <c r="D808" s="22" t="s">
        <v>13</v>
      </c>
      <c r="E808" s="23" t="s">
        <v>3362</v>
      </c>
      <c r="F808" s="22" t="str">
        <f ca="1">IFERROR(__xludf.DUMMYFUNCTION("GOOGLETRANSLATE(E808,""ar"",""en"")"),"Food Supplies Store")</f>
        <v>Food Supplies Store</v>
      </c>
      <c r="G808" s="22" t="s">
        <v>3585</v>
      </c>
      <c r="H808" s="24" t="s">
        <v>3587</v>
      </c>
      <c r="I808" s="23" t="s">
        <v>3334</v>
      </c>
      <c r="J808" s="5" t="str">
        <f ca="1">IFERROR(__xludf.DUMMYFUNCTION("GOOGLETRANSLATE(G808,""ar"",""en"")"),"Al Fursan neighborhood")</f>
        <v>Al Fursan neighborhood</v>
      </c>
      <c r="K808" s="11">
        <v>570765562</v>
      </c>
      <c r="L808" s="11" t="s">
        <v>3363</v>
      </c>
      <c r="M808" s="5" t="str">
        <f ca="1">IFERROR(__xludf.DUMMYFUNCTION("GOOGLETRANSLATE(J808,""ar"",""en"")"),"God opened")</f>
        <v>God opened</v>
      </c>
      <c r="N808" s="12" t="s">
        <v>3364</v>
      </c>
      <c r="O808" s="10" t="s">
        <v>3365</v>
      </c>
    </row>
    <row r="809" spans="1:15" ht="20.100000000000001" customHeight="1" thickTop="1" thickBot="1">
      <c r="A809" s="1"/>
      <c r="B809" s="22">
        <v>808</v>
      </c>
      <c r="C809" s="22" t="s">
        <v>3366</v>
      </c>
      <c r="D809" s="22" t="s">
        <v>13</v>
      </c>
      <c r="E809" s="22" t="s">
        <v>3367</v>
      </c>
      <c r="F809" s="22" t="str">
        <f ca="1">IFERROR(__xludf.DUMMYFUNCTION("GOOGLETRANSLATE(E809,""ar"",""en"")"),"Sea Islands Markets")</f>
        <v>Sea Islands Markets</v>
      </c>
      <c r="G809" s="22" t="s">
        <v>3585</v>
      </c>
      <c r="H809" s="24" t="s">
        <v>3587</v>
      </c>
      <c r="I809" s="22" t="s">
        <v>3334</v>
      </c>
      <c r="J809" s="5" t="str">
        <f ca="1">IFERROR(__xludf.DUMMYFUNCTION("GOOGLETRANSLATE(G809,""ar"",""en"")"),"Al Fursan neighborhood")</f>
        <v>Al Fursan neighborhood</v>
      </c>
      <c r="K809" s="5">
        <v>530284042</v>
      </c>
      <c r="L809" s="5" t="s">
        <v>3368</v>
      </c>
      <c r="M809" s="5" t="str">
        <f ca="1">IFERROR(__xludf.DUMMYFUNCTION("GOOGLETRANSLATE(J809,""ar"",""en"")"),"Mohammed Salem")</f>
        <v>Mohammed Salem</v>
      </c>
      <c r="N809" s="6" t="s">
        <v>3369</v>
      </c>
      <c r="O809" s="10" t="s">
        <v>3370</v>
      </c>
    </row>
    <row r="810" spans="1:15" ht="20.100000000000001" customHeight="1" thickTop="1" thickBot="1">
      <c r="A810" s="1"/>
      <c r="B810" s="22">
        <v>809</v>
      </c>
      <c r="C810" s="22" t="s">
        <v>3371</v>
      </c>
      <c r="D810" s="22" t="s">
        <v>13</v>
      </c>
      <c r="E810" s="23" t="s">
        <v>3372</v>
      </c>
      <c r="F810" s="22" t="str">
        <f ca="1">IFERROR(__xludf.DUMMYFUNCTION("GOOGLETRANSLATE(E810,""ar"",""en"")"),"Ryan Market")</f>
        <v>Ryan Market</v>
      </c>
      <c r="G810" s="22" t="s">
        <v>3585</v>
      </c>
      <c r="H810" s="24" t="s">
        <v>3587</v>
      </c>
      <c r="I810" s="23" t="s">
        <v>3334</v>
      </c>
      <c r="J810" s="5" t="str">
        <f ca="1">IFERROR(__xludf.DUMMYFUNCTION("GOOGLETRANSLATE(G810,""ar"",""en"")"),"Al Fursan neighborhood")</f>
        <v>Al Fursan neighborhood</v>
      </c>
      <c r="K810" s="11">
        <v>542319936</v>
      </c>
      <c r="L810" s="11" t="s">
        <v>175</v>
      </c>
      <c r="M810" s="5" t="str">
        <f ca="1">IFERROR(__xludf.DUMMYFUNCTION("GOOGLETRANSLATE(J810,""ar"",""en"")"),"Abdullah")</f>
        <v>Abdullah</v>
      </c>
      <c r="N810" s="12" t="s">
        <v>3373</v>
      </c>
      <c r="O810" s="10" t="s">
        <v>3374</v>
      </c>
    </row>
    <row r="811" spans="1:15" ht="20.100000000000001" customHeight="1" thickTop="1" thickBot="1">
      <c r="A811" s="1"/>
      <c r="B811" s="22">
        <v>810</v>
      </c>
      <c r="C811" s="22" t="s">
        <v>3375</v>
      </c>
      <c r="D811" s="22" t="s">
        <v>13</v>
      </c>
      <c r="E811" s="22" t="s">
        <v>3376</v>
      </c>
      <c r="F811" s="22" t="str">
        <f ca="1">IFERROR(__xludf.DUMMYFUNCTION("GOOGLETRANSLATE(E811,""ar"",""en"")"),"Principle of life")</f>
        <v>Principle of life</v>
      </c>
      <c r="G811" s="22" t="s">
        <v>3585</v>
      </c>
      <c r="H811" s="24" t="s">
        <v>3587</v>
      </c>
      <c r="I811" s="22" t="s">
        <v>3334</v>
      </c>
      <c r="J811" s="5" t="str">
        <f ca="1">IFERROR(__xludf.DUMMYFUNCTION("GOOGLETRANSLATE(G811,""ar"",""en"")"),"Al Fursan neighborhood")</f>
        <v>Al Fursan neighborhood</v>
      </c>
      <c r="K811" s="5">
        <v>531213234</v>
      </c>
      <c r="L811" s="5" t="s">
        <v>3377</v>
      </c>
      <c r="M811" s="5" t="str">
        <f ca="1">IFERROR(__xludf.DUMMYFUNCTION("GOOGLETRANSLATE(J811,""ar"",""en"")"),"Abdullah Hamada")</f>
        <v>Abdullah Hamada</v>
      </c>
      <c r="N811" s="6" t="s">
        <v>3378</v>
      </c>
      <c r="O811" s="10" t="s">
        <v>3379</v>
      </c>
    </row>
    <row r="812" spans="1:15" ht="20.100000000000001" customHeight="1" thickTop="1" thickBot="1">
      <c r="A812" s="1"/>
      <c r="B812" s="22">
        <v>811</v>
      </c>
      <c r="C812" s="22" t="s">
        <v>3380</v>
      </c>
      <c r="D812" s="22" t="s">
        <v>13</v>
      </c>
      <c r="E812" s="23" t="s">
        <v>3381</v>
      </c>
      <c r="F812" s="22" t="str">
        <f ca="1">IFERROR(__xludf.DUMMYFUNCTION("GOOGLETRANSLATE(E812,""ar"",""en"")"),"Najmat Al Fursan Markets")</f>
        <v>Najmat Al Fursan Markets</v>
      </c>
      <c r="G812" s="22" t="s">
        <v>3585</v>
      </c>
      <c r="H812" s="24" t="s">
        <v>3587</v>
      </c>
      <c r="I812" s="23" t="s">
        <v>3334</v>
      </c>
      <c r="J812" s="5" t="str">
        <f ca="1">IFERROR(__xludf.DUMMYFUNCTION("GOOGLETRANSLATE(G812,""ar"",""en"")"),"Al Fursan neighborhood")</f>
        <v>Al Fursan neighborhood</v>
      </c>
      <c r="K812" s="11">
        <v>538010769</v>
      </c>
      <c r="L812" s="11" t="s">
        <v>3382</v>
      </c>
      <c r="M812" s="5" t="str">
        <f ca="1">IFERROR(__xludf.DUMMYFUNCTION("GOOGLETRANSLATE(J812,""ar"",""en"")"),"Amjad")</f>
        <v>Amjad</v>
      </c>
      <c r="N812" s="12" t="s">
        <v>3383</v>
      </c>
      <c r="O812" s="10" t="s">
        <v>3384</v>
      </c>
    </row>
    <row r="813" spans="1:15" ht="20.100000000000001" customHeight="1" thickTop="1" thickBot="1">
      <c r="A813" s="1"/>
      <c r="B813" s="22">
        <v>812</v>
      </c>
      <c r="C813" s="22" t="s">
        <v>3385</v>
      </c>
      <c r="D813" s="22" t="s">
        <v>13</v>
      </c>
      <c r="E813" s="22" t="s">
        <v>3386</v>
      </c>
      <c r="F813" s="22" t="str">
        <f ca="1">IFERROR(__xludf.DUMMYFUNCTION("GOOGLETRANSLATE(E813,""ar"",""en"")"),"Khairat Al-Tut Supplies")</f>
        <v>Khairat Al-Tut Supplies</v>
      </c>
      <c r="G813" s="22" t="s">
        <v>3585</v>
      </c>
      <c r="H813" s="24" t="s">
        <v>3587</v>
      </c>
      <c r="I813" s="22" t="s">
        <v>3334</v>
      </c>
      <c r="J813" s="5" t="str">
        <f ca="1">IFERROR(__xludf.DUMMYFUNCTION("GOOGLETRANSLATE(G813,""ar"",""en"")"),"Al Fursan neighborhood")</f>
        <v>Al Fursan neighborhood</v>
      </c>
      <c r="K813" s="5">
        <v>553313115</v>
      </c>
      <c r="L813" s="5"/>
      <c r="M813" s="5" t="str">
        <f ca="1">IFERROR(__xludf.DUMMYFUNCTION("GOOGLETRANSLATE(J813,""ar"",""en"")"),"#VALUE!")</f>
        <v>#VALUE!</v>
      </c>
      <c r="N813" s="6" t="s">
        <v>3387</v>
      </c>
      <c r="O813" s="10" t="s">
        <v>3388</v>
      </c>
    </row>
    <row r="814" spans="1:15" ht="20.100000000000001" customHeight="1" thickTop="1" thickBot="1">
      <c r="A814" s="1"/>
      <c r="B814" s="22">
        <v>813</v>
      </c>
      <c r="C814" s="22" t="s">
        <v>3389</v>
      </c>
      <c r="D814" s="22" t="s">
        <v>13</v>
      </c>
      <c r="E814" s="23" t="s">
        <v>3390</v>
      </c>
      <c r="F814" s="22" t="str">
        <f ca="1">IFERROR(__xludf.DUMMYFUNCTION("GOOGLETRANSLATE(E814,""ar"",""en"")"),"Atlas Link Grocery")</f>
        <v>Atlas Link Grocery</v>
      </c>
      <c r="G814" s="22" t="s">
        <v>3585</v>
      </c>
      <c r="H814" s="24" t="s">
        <v>3587</v>
      </c>
      <c r="I814" s="23" t="s">
        <v>3334</v>
      </c>
      <c r="J814" s="5" t="str">
        <f ca="1">IFERROR(__xludf.DUMMYFUNCTION("GOOGLETRANSLATE(G814,""ar"",""en"")"),"Al Fursan neighborhood")</f>
        <v>Al Fursan neighborhood</v>
      </c>
      <c r="K814" s="11">
        <v>540382675</v>
      </c>
      <c r="L814" s="11"/>
      <c r="M814" s="5" t="str">
        <f ca="1">IFERROR(__xludf.DUMMYFUNCTION("GOOGLETRANSLATE(J814,""ar"",""en"")"),"#VALUE!")</f>
        <v>#VALUE!</v>
      </c>
      <c r="N814" s="12" t="s">
        <v>3391</v>
      </c>
      <c r="O814" s="10" t="s">
        <v>3392</v>
      </c>
    </row>
    <row r="815" spans="1:15" ht="20.100000000000001" customHeight="1" thickTop="1" thickBot="1">
      <c r="A815" s="1"/>
      <c r="B815" s="22">
        <v>814</v>
      </c>
      <c r="C815" s="22" t="s">
        <v>3393</v>
      </c>
      <c r="D815" s="22" t="s">
        <v>13</v>
      </c>
      <c r="E815" s="22" t="s">
        <v>107</v>
      </c>
      <c r="F815" s="22" t="str">
        <f ca="1">IFERROR(__xludf.DUMMYFUNCTION("GOOGLETRANSLATE(E815,""ar"",""en"")"),"Dari Basket Supplies")</f>
        <v>Dari Basket Supplies</v>
      </c>
      <c r="G815" s="22" t="s">
        <v>3585</v>
      </c>
      <c r="H815" s="24" t="s">
        <v>3587</v>
      </c>
      <c r="I815" s="22" t="s">
        <v>3334</v>
      </c>
      <c r="J815" s="5" t="str">
        <f ca="1">IFERROR(__xludf.DUMMYFUNCTION("GOOGLETRANSLATE(G815,""ar"",""en"")"),"Al Fursan neighborhood")</f>
        <v>Al Fursan neighborhood</v>
      </c>
      <c r="K815" s="5">
        <v>548796221</v>
      </c>
      <c r="L815" s="5" t="s">
        <v>3048</v>
      </c>
      <c r="M815" s="5" t="str">
        <f ca="1">IFERROR(__xludf.DUMMYFUNCTION("GOOGLETRANSLATE(J815,""ar"",""en"")"),"Grocery number")</f>
        <v>Grocery number</v>
      </c>
      <c r="N815" s="6" t="s">
        <v>3394</v>
      </c>
      <c r="O815" s="10" t="s">
        <v>3395</v>
      </c>
    </row>
    <row r="816" spans="1:15" ht="20.100000000000001" customHeight="1" thickTop="1" thickBot="1">
      <c r="A816" s="1"/>
      <c r="B816" s="22">
        <v>815</v>
      </c>
      <c r="C816" s="22" t="s">
        <v>3396</v>
      </c>
      <c r="D816" s="22" t="s">
        <v>13</v>
      </c>
      <c r="E816" s="23" t="s">
        <v>3397</v>
      </c>
      <c r="F816" s="22" t="str">
        <f ca="1">IFERROR(__xludf.DUMMYFUNCTION("GOOGLETRANSLATE(E816,""ar"",""en"")"),"Kawthar Supplies")</f>
        <v>Kawthar Supplies</v>
      </c>
      <c r="G816" s="22" t="s">
        <v>3585</v>
      </c>
      <c r="H816" s="24" t="s">
        <v>3587</v>
      </c>
      <c r="I816" s="23" t="s">
        <v>3334</v>
      </c>
      <c r="J816" s="5" t="str">
        <f ca="1">IFERROR(__xludf.DUMMYFUNCTION("GOOGLETRANSLATE(G816,""ar"",""en"")"),"Al Fursan neighborhood")</f>
        <v>Al Fursan neighborhood</v>
      </c>
      <c r="K816" s="11"/>
      <c r="L816" s="11" t="s">
        <v>3398</v>
      </c>
      <c r="M816" s="5" t="str">
        <f ca="1">IFERROR(__xludf.DUMMYFUNCTION("GOOGLETRANSLATE(J816,""ar"",""en"")"),"Abbas")</f>
        <v>Abbas</v>
      </c>
      <c r="N816" s="12" t="s">
        <v>3399</v>
      </c>
      <c r="O816" s="10" t="s">
        <v>3400</v>
      </c>
    </row>
    <row r="817" spans="1:15" ht="20.100000000000001" customHeight="1" thickTop="1" thickBot="1">
      <c r="A817" s="1"/>
      <c r="B817" s="22">
        <v>816</v>
      </c>
      <c r="C817" s="22" t="s">
        <v>3401</v>
      </c>
      <c r="D817" s="22" t="s">
        <v>13</v>
      </c>
      <c r="E817" s="22" t="s">
        <v>3402</v>
      </c>
      <c r="F817" s="22" t="str">
        <f ca="1">IFERROR(__xludf.DUMMYFUNCTION("GOOGLETRANSLATE(E817,""ar"",""en"")"),"Rose Mart")</f>
        <v>Rose Mart</v>
      </c>
      <c r="G817" s="22" t="s">
        <v>3585</v>
      </c>
      <c r="H817" s="24" t="s">
        <v>3587</v>
      </c>
      <c r="I817" s="22" t="s">
        <v>3403</v>
      </c>
      <c r="J817" s="5" t="str">
        <f ca="1">IFERROR(__xludf.DUMMYFUNCTION("GOOGLETRANSLATE(G817,""ar"",""en"")"),"Al-Dahia neighborhood")</f>
        <v>Al-Dahia neighborhood</v>
      </c>
      <c r="K817" s="5">
        <v>543395786</v>
      </c>
      <c r="L817" s="5"/>
      <c r="M817" s="5" t="str">
        <f ca="1">IFERROR(__xludf.DUMMYFUNCTION("GOOGLETRANSLATE(J817,""ar"",""en"")"),"#VALUE!")</f>
        <v>#VALUE!</v>
      </c>
      <c r="N817" s="6" t="s">
        <v>3404</v>
      </c>
      <c r="O817" s="10" t="s">
        <v>3405</v>
      </c>
    </row>
    <row r="818" spans="1:15" ht="20.100000000000001" customHeight="1" thickTop="1" thickBot="1">
      <c r="A818" s="1"/>
      <c r="B818" s="22">
        <v>817</v>
      </c>
      <c r="C818" s="22" t="s">
        <v>3406</v>
      </c>
      <c r="D818" s="22" t="s">
        <v>13</v>
      </c>
      <c r="E818" s="23" t="s">
        <v>3681</v>
      </c>
      <c r="F818" s="22" t="str">
        <f ca="1">IFERROR(__xludf.DUMMYFUNCTION("GOOGLETRANSLATE(E818,""ar"",""en"")"),"#VALUE!")</f>
        <v>#VALUE!</v>
      </c>
      <c r="G818" s="22" t="s">
        <v>3585</v>
      </c>
      <c r="H818" s="24" t="s">
        <v>3587</v>
      </c>
      <c r="I818" s="22" t="s">
        <v>3403</v>
      </c>
      <c r="J818" s="5" t="str">
        <f ca="1">IFERROR(__xludf.DUMMYFUNCTION("GOOGLETRANSLATE(G818,""ar"",""en"")"),"Al-Dahia neighborhood")</f>
        <v>Al-Dahia neighborhood</v>
      </c>
      <c r="K818" s="11">
        <v>508847578</v>
      </c>
      <c r="L818" s="11"/>
      <c r="M818" s="5" t="str">
        <f ca="1">IFERROR(__xludf.DUMMYFUNCTION("GOOGLETRANSLATE(J818,""ar"",""en"")"),"#VALUE!")</f>
        <v>#VALUE!</v>
      </c>
      <c r="N818" s="12" t="s">
        <v>3407</v>
      </c>
      <c r="O818" s="10" t="s">
        <v>3408</v>
      </c>
    </row>
    <row r="819" spans="1:15" ht="20.100000000000001" customHeight="1" thickTop="1" thickBot="1">
      <c r="A819" s="1"/>
      <c r="B819" s="22">
        <v>818</v>
      </c>
      <c r="C819" s="22" t="s">
        <v>3409</v>
      </c>
      <c r="D819" s="22" t="s">
        <v>13</v>
      </c>
      <c r="E819" s="22" t="s">
        <v>3410</v>
      </c>
      <c r="F819" s="22" t="str">
        <f ca="1">IFERROR(__xludf.DUMMYFUNCTION("GOOGLETRANSLATE(E819,""ar"",""en"")"),"The Grocery Store of Generations' Happiness")</f>
        <v>The Grocery Store of Generations' Happiness</v>
      </c>
      <c r="G819" s="22" t="s">
        <v>3585</v>
      </c>
      <c r="H819" s="24" t="s">
        <v>3587</v>
      </c>
      <c r="I819" s="22" t="s">
        <v>3403</v>
      </c>
      <c r="J819" s="5" t="str">
        <f ca="1">IFERROR(__xludf.DUMMYFUNCTION("GOOGLETRANSLATE(G819,""ar"",""en"")"),"Al-Dahia neighborhood")</f>
        <v>Al-Dahia neighborhood</v>
      </c>
      <c r="K819" s="5">
        <v>579291742</v>
      </c>
      <c r="L819" s="5" t="s">
        <v>3411</v>
      </c>
      <c r="M819" s="5" t="str">
        <f ca="1">IFERROR(__xludf.DUMMYFUNCTION("GOOGLETRANSLATE(J819,""ar"",""en"")"),"Hisham Al-Imad")</f>
        <v>Hisham Al-Imad</v>
      </c>
      <c r="N819" s="6" t="s">
        <v>3412</v>
      </c>
      <c r="O819" s="10" t="s">
        <v>3413</v>
      </c>
    </row>
    <row r="820" spans="1:15" ht="20.100000000000001" customHeight="1" thickTop="1" thickBot="1">
      <c r="A820" s="1"/>
      <c r="B820" s="22">
        <v>819</v>
      </c>
      <c r="C820" s="22" t="s">
        <v>3414</v>
      </c>
      <c r="D820" s="22" t="s">
        <v>13</v>
      </c>
      <c r="E820" s="23" t="s">
        <v>3415</v>
      </c>
      <c r="F820" s="22" t="str">
        <f ca="1">IFERROR(__xludf.DUMMYFUNCTION("GOOGLETRANSLATE(E820,""ar"",""en"")"),"Rizq Al Khaleej Supplies")</f>
        <v>Rizq Al Khaleej Supplies</v>
      </c>
      <c r="G820" s="22" t="s">
        <v>3585</v>
      </c>
      <c r="H820" s="24" t="s">
        <v>3587</v>
      </c>
      <c r="I820" s="23" t="s">
        <v>3403</v>
      </c>
      <c r="J820" s="5" t="str">
        <f ca="1">IFERROR(__xludf.DUMMYFUNCTION("GOOGLETRANSLATE(G820,""ar"",""en"")"),"Al-Dahia neighborhood")</f>
        <v>Al-Dahia neighborhood</v>
      </c>
      <c r="K820" s="11">
        <v>508180638</v>
      </c>
      <c r="L820" s="11" t="s">
        <v>3416</v>
      </c>
      <c r="M820" s="5" t="str">
        <f ca="1">IFERROR(__xludf.DUMMYFUNCTION("GOOGLETRANSLATE(J820,""ar"",""en"")"),"rare")</f>
        <v>rare</v>
      </c>
      <c r="N820" s="12" t="s">
        <v>3417</v>
      </c>
      <c r="O820" s="10" t="s">
        <v>3418</v>
      </c>
    </row>
    <row r="821" spans="1:15" ht="20.100000000000001" customHeight="1" thickTop="1" thickBot="1">
      <c r="A821" s="1"/>
      <c r="B821" s="22">
        <v>820</v>
      </c>
      <c r="C821" s="22" t="s">
        <v>3419</v>
      </c>
      <c r="D821" s="22" t="s">
        <v>13</v>
      </c>
      <c r="E821" s="22" t="s">
        <v>3420</v>
      </c>
      <c r="F821" s="22" t="str">
        <f ca="1">IFERROR(__xludf.DUMMYFUNCTION("GOOGLETRANSLATE(E821,""ar"",""en"")"),"Omar's Supplies")</f>
        <v>Omar's Supplies</v>
      </c>
      <c r="G821" s="22" t="s">
        <v>3585</v>
      </c>
      <c r="H821" s="24" t="s">
        <v>3587</v>
      </c>
      <c r="I821" s="22" t="s">
        <v>3403</v>
      </c>
      <c r="J821" s="5" t="str">
        <f ca="1">IFERROR(__xludf.DUMMYFUNCTION("GOOGLETRANSLATE(G821,""ar"",""en"")"),"Al-Dahia neighborhood")</f>
        <v>Al-Dahia neighborhood</v>
      </c>
      <c r="K821" s="5">
        <v>536872431</v>
      </c>
      <c r="L821" s="5" t="s">
        <v>3421</v>
      </c>
      <c r="M821" s="5" t="str">
        <f ca="1">IFERROR(__xludf.DUMMYFUNCTION("GOOGLETRANSLATE(J821,""ar"",""en"")"),"Aboud")</f>
        <v>Aboud</v>
      </c>
      <c r="N821" s="6" t="s">
        <v>3422</v>
      </c>
      <c r="O821" s="10" t="s">
        <v>3423</v>
      </c>
    </row>
    <row r="822" spans="1:15" ht="20.100000000000001" customHeight="1" thickTop="1" thickBot="1">
      <c r="A822" s="1"/>
      <c r="B822" s="22">
        <v>821</v>
      </c>
      <c r="C822" s="22" t="s">
        <v>3424</v>
      </c>
      <c r="D822" s="22" t="s">
        <v>13</v>
      </c>
      <c r="E822" s="23" t="s">
        <v>3425</v>
      </c>
      <c r="F822" s="22" t="str">
        <f ca="1">IFERROR(__xludf.DUMMYFUNCTION("GOOGLETRANSLATE(E822,""ar"",""en"")"),"Golden Shelf Markets")</f>
        <v>Golden Shelf Markets</v>
      </c>
      <c r="G822" s="22" t="s">
        <v>3585</v>
      </c>
      <c r="H822" s="24" t="s">
        <v>3587</v>
      </c>
      <c r="I822" s="23" t="s">
        <v>3403</v>
      </c>
      <c r="J822" s="5" t="str">
        <f ca="1">IFERROR(__xludf.DUMMYFUNCTION("GOOGLETRANSLATE(G822,""ar"",""en"")"),"Al-Dahia neighborhood")</f>
        <v>Al-Dahia neighborhood</v>
      </c>
      <c r="K822" s="11">
        <v>534498897</v>
      </c>
      <c r="L822" s="11" t="s">
        <v>175</v>
      </c>
      <c r="M822" s="5" t="str">
        <f ca="1">IFERROR(__xludf.DUMMYFUNCTION("GOOGLETRANSLATE(J822,""ar"",""en"")"),"Abdullah")</f>
        <v>Abdullah</v>
      </c>
      <c r="N822" s="12" t="s">
        <v>3426</v>
      </c>
      <c r="O822" s="10" t="s">
        <v>3427</v>
      </c>
    </row>
    <row r="823" spans="1:15" ht="20.100000000000001" customHeight="1" thickTop="1" thickBot="1">
      <c r="A823" s="1"/>
      <c r="B823" s="22">
        <v>822</v>
      </c>
      <c r="C823" s="22" t="s">
        <v>3428</v>
      </c>
      <c r="D823" s="22" t="s">
        <v>13</v>
      </c>
      <c r="E823" s="22" t="s">
        <v>343</v>
      </c>
      <c r="F823" s="22" t="str">
        <f ca="1">IFERROR(__xludf.DUMMYFUNCTION("GOOGLETRANSLATE(E823,""ar"",""en"")"),"Mazaya Supplies")</f>
        <v>Mazaya Supplies</v>
      </c>
      <c r="G823" s="22" t="s">
        <v>3585</v>
      </c>
      <c r="H823" s="24" t="s">
        <v>3587</v>
      </c>
      <c r="I823" s="22" t="s">
        <v>3403</v>
      </c>
      <c r="J823" s="5" t="str">
        <f ca="1">IFERROR(__xludf.DUMMYFUNCTION("GOOGLETRANSLATE(G823,""ar"",""en"")"),"Al-Dahia neighborhood")</f>
        <v>Al-Dahia neighborhood</v>
      </c>
      <c r="K823" s="5"/>
      <c r="L823" s="5"/>
      <c r="M823" s="5" t="str">
        <f ca="1">IFERROR(__xludf.DUMMYFUNCTION("GOOGLETRANSLATE(J823,""ar"",""en"")"),"#VALUE!")</f>
        <v>#VALUE!</v>
      </c>
      <c r="N823" s="6" t="s">
        <v>3429</v>
      </c>
      <c r="O823" s="10" t="s">
        <v>3430</v>
      </c>
    </row>
    <row r="824" spans="1:15" ht="20.100000000000001" customHeight="1" thickTop="1" thickBot="1">
      <c r="A824" s="1"/>
      <c r="B824" s="22">
        <v>823</v>
      </c>
      <c r="C824" s="22" t="s">
        <v>3431</v>
      </c>
      <c r="D824" s="22" t="s">
        <v>13</v>
      </c>
      <c r="E824" s="23" t="s">
        <v>3432</v>
      </c>
      <c r="F824" s="22" t="str">
        <f ca="1">IFERROR(__xludf.DUMMYFUNCTION("GOOGLETRANSLATE(E824,""ar"",""en"")"),"Orange Plan")</f>
        <v>Orange Plan</v>
      </c>
      <c r="G824" s="22" t="s">
        <v>3585</v>
      </c>
      <c r="H824" s="24" t="s">
        <v>3587</v>
      </c>
      <c r="I824" s="23" t="s">
        <v>3403</v>
      </c>
      <c r="J824" s="5" t="str">
        <f ca="1">IFERROR(__xludf.DUMMYFUNCTION("GOOGLETRANSLATE(G824,""ar"",""en"")"),"#VALUE!")</f>
        <v>#VALUE!</v>
      </c>
      <c r="K824" s="11">
        <v>541003745</v>
      </c>
      <c r="L824" s="11"/>
      <c r="M824" s="5" t="str">
        <f ca="1">IFERROR(__xludf.DUMMYFUNCTION("GOOGLETRANSLATE(J824,""ar"",""en"")"),"#VALUE!")</f>
        <v>#VALUE!</v>
      </c>
      <c r="N824" s="12" t="s">
        <v>3433</v>
      </c>
      <c r="O824" s="10" t="s">
        <v>3434</v>
      </c>
    </row>
    <row r="825" spans="1:15" ht="20.100000000000001" customHeight="1" thickTop="1" thickBot="1">
      <c r="A825" s="1"/>
      <c r="B825" s="22">
        <v>824</v>
      </c>
      <c r="C825" s="22" t="s">
        <v>3435</v>
      </c>
      <c r="D825" s="22" t="s">
        <v>13</v>
      </c>
      <c r="E825" s="22" t="s">
        <v>3436</v>
      </c>
      <c r="F825" s="22" t="str">
        <f ca="1">IFERROR(__xludf.DUMMYFUNCTION("GOOGLETRANSLATE(E825,""ar"",""en"")"),"Crown of goodness and giving")</f>
        <v>Crown of goodness and giving</v>
      </c>
      <c r="G825" s="22" t="s">
        <v>3585</v>
      </c>
      <c r="H825" s="24" t="s">
        <v>3587</v>
      </c>
      <c r="I825" s="22" t="s">
        <v>3403</v>
      </c>
      <c r="J825" s="5" t="str">
        <f ca="1">IFERROR(__xludf.DUMMYFUNCTION("GOOGLETRANSLATE(G825,""ar"",""en"")"),"Al-Dahia neighborhood")</f>
        <v>Al-Dahia neighborhood</v>
      </c>
      <c r="K825" s="5">
        <v>535249755</v>
      </c>
      <c r="L825" s="5" t="s">
        <v>3437</v>
      </c>
      <c r="M825" s="5" t="str">
        <f ca="1">IFERROR(__xludf.DUMMYFUNCTION("GOOGLETRANSLATE(J825,""ar"",""en"")"),"Abu Salem")</f>
        <v>Abu Salem</v>
      </c>
      <c r="N825" s="6" t="s">
        <v>3438</v>
      </c>
      <c r="O825" s="10" t="s">
        <v>3439</v>
      </c>
    </row>
    <row r="826" spans="1:15" ht="20.100000000000001" customHeight="1" thickTop="1" thickBot="1">
      <c r="A826" s="1"/>
      <c r="B826" s="22">
        <v>825</v>
      </c>
      <c r="C826" s="22" t="s">
        <v>3440</v>
      </c>
      <c r="D826" s="22" t="s">
        <v>13</v>
      </c>
      <c r="E826" s="23" t="s">
        <v>192</v>
      </c>
      <c r="F826" s="22" t="str">
        <f ca="1">IFERROR(__xludf.DUMMYFUNCTION("GOOGLETRANSLATE(E826,""ar"",""en"")"),"supermarket")</f>
        <v>supermarket</v>
      </c>
      <c r="G826" s="22" t="s">
        <v>3585</v>
      </c>
      <c r="H826" s="24" t="s">
        <v>3587</v>
      </c>
      <c r="I826" s="23" t="s">
        <v>3403</v>
      </c>
      <c r="J826" s="5" t="str">
        <f ca="1">IFERROR(__xludf.DUMMYFUNCTION("GOOGLETRANSLATE(G826,""ar"",""en"")"),"Al-Dahia neighborhood")</f>
        <v>Al-Dahia neighborhood</v>
      </c>
      <c r="K826" s="11"/>
      <c r="L826" s="11"/>
      <c r="M826" s="5" t="str">
        <f ca="1">IFERROR(__xludf.DUMMYFUNCTION("GOOGLETRANSLATE(J826,""ar"",""en"")"),"#VALUE!")</f>
        <v>#VALUE!</v>
      </c>
      <c r="N826" s="12" t="s">
        <v>3441</v>
      </c>
      <c r="O826" s="10" t="s">
        <v>3442</v>
      </c>
    </row>
    <row r="827" spans="1:15" ht="20.100000000000001" customHeight="1" thickTop="1" thickBot="1">
      <c r="A827" s="1"/>
      <c r="B827" s="22">
        <v>826</v>
      </c>
      <c r="C827" s="22" t="s">
        <v>3443</v>
      </c>
      <c r="D827" s="22" t="s">
        <v>13</v>
      </c>
      <c r="E827" s="22" t="s">
        <v>343</v>
      </c>
      <c r="F827" s="22" t="str">
        <f ca="1">IFERROR(__xludf.DUMMYFUNCTION("GOOGLETRANSLATE(E827,""ar"",""en"")"),"Mazaya Supplies")</f>
        <v>Mazaya Supplies</v>
      </c>
      <c r="G827" s="22" t="s">
        <v>3585</v>
      </c>
      <c r="H827" s="24" t="s">
        <v>3587</v>
      </c>
      <c r="I827" s="22" t="s">
        <v>3403</v>
      </c>
      <c r="J827" s="5" t="str">
        <f ca="1">IFERROR(__xludf.DUMMYFUNCTION("GOOGLETRANSLATE(G827,""ar"",""en"")"),"suburb")</f>
        <v>suburb</v>
      </c>
      <c r="K827" s="5"/>
      <c r="L827" s="5" t="s">
        <v>3444</v>
      </c>
      <c r="M827" s="5" t="str">
        <f ca="1">IFERROR(__xludf.DUMMYFUNCTION("GOOGLETRANSLATE(J827,""ar"",""en"")"),"The administration is being contacted")</f>
        <v>The administration is being contacted</v>
      </c>
      <c r="N827" s="6" t="s">
        <v>3445</v>
      </c>
      <c r="O827" s="10" t="s">
        <v>3446</v>
      </c>
    </row>
    <row r="828" spans="1:15" ht="20.100000000000001" customHeight="1" thickTop="1" thickBot="1">
      <c r="A828" s="1"/>
      <c r="B828" s="22">
        <v>827</v>
      </c>
      <c r="C828" s="22" t="s">
        <v>3447</v>
      </c>
      <c r="D828" s="22" t="s">
        <v>13</v>
      </c>
      <c r="E828" s="23" t="s">
        <v>3448</v>
      </c>
      <c r="F828" s="22" t="str">
        <f ca="1">IFERROR(__xludf.DUMMYFUNCTION("GOOGLETRANSLATE(E828,""ar"",""en"")"),"Rural Basket Supplies")</f>
        <v>Rural Basket Supplies</v>
      </c>
      <c r="G828" s="22" t="s">
        <v>3585</v>
      </c>
      <c r="H828" s="24" t="s">
        <v>3587</v>
      </c>
      <c r="I828" s="23" t="s">
        <v>3403</v>
      </c>
      <c r="J828" s="5" t="str">
        <f ca="1">IFERROR(__xludf.DUMMYFUNCTION("GOOGLETRANSLATE(G828,""ar"",""en"")"),"Al-Dahia neighborhood")</f>
        <v>Al-Dahia neighborhood</v>
      </c>
      <c r="K828" s="11">
        <v>507151392</v>
      </c>
      <c r="L828" s="11" t="s">
        <v>372</v>
      </c>
      <c r="M828" s="5" t="str">
        <f ca="1">IFERROR(__xludf.DUMMYFUNCTION("GOOGLETRANSLATE(J828,""ar"",""en"")"),"Abu Ali")</f>
        <v>Abu Ali</v>
      </c>
      <c r="N828" s="12" t="s">
        <v>3449</v>
      </c>
      <c r="O828" s="10" t="s">
        <v>3450</v>
      </c>
    </row>
    <row r="829" spans="1:15" ht="20.100000000000001" customHeight="1" thickTop="1" thickBot="1">
      <c r="A829" s="1"/>
      <c r="B829" s="22">
        <v>828</v>
      </c>
      <c r="C829" s="22" t="s">
        <v>3451</v>
      </c>
      <c r="D829" s="22" t="s">
        <v>13</v>
      </c>
      <c r="E829" s="22" t="s">
        <v>3452</v>
      </c>
      <c r="F829" s="22" t="str">
        <f ca="1">IFERROR(__xludf.DUMMYFUNCTION("GOOGLETRANSLATE(E829,""ar"",""en"")"),"Hyper Flavor Economy")</f>
        <v>Hyper Flavor Economy</v>
      </c>
      <c r="G829" s="22" t="s">
        <v>3585</v>
      </c>
      <c r="H829" s="24" t="s">
        <v>3587</v>
      </c>
      <c r="I829" s="22" t="s">
        <v>3403</v>
      </c>
      <c r="J829" s="5" t="str">
        <f ca="1">IFERROR(__xludf.DUMMYFUNCTION("GOOGLETRANSLATE(G829,""ar"",""en"")"),"Al-Dahia neighborhood")</f>
        <v>Al-Dahia neighborhood</v>
      </c>
      <c r="K829" s="5">
        <v>555710398</v>
      </c>
      <c r="L829" s="5" t="s">
        <v>3453</v>
      </c>
      <c r="M829" s="5" t="str">
        <f ca="1">IFERROR(__xludf.DUMMYFUNCTION("GOOGLETRANSLATE(J829,""ar"",""en"")"),"Ali Sudan")</f>
        <v>Ali Sudan</v>
      </c>
      <c r="N829" s="6" t="s">
        <v>3454</v>
      </c>
      <c r="O829" s="10" t="s">
        <v>3455</v>
      </c>
    </row>
    <row r="830" spans="1:15" ht="20.100000000000001" customHeight="1" thickTop="1" thickBot="1">
      <c r="A830" s="1"/>
      <c r="B830" s="22">
        <v>829</v>
      </c>
      <c r="C830" s="22" t="s">
        <v>3456</v>
      </c>
      <c r="D830" s="22" t="s">
        <v>13</v>
      </c>
      <c r="E830" s="23" t="s">
        <v>3457</v>
      </c>
      <c r="F830" s="22" t="str">
        <f ca="1">IFERROR(__xludf.DUMMYFUNCTION("GOOGLETRANSLATE(E830,""ar"",""en"")"),"Wasayef Supplies")</f>
        <v>Wasayef Supplies</v>
      </c>
      <c r="G830" s="22" t="s">
        <v>3585</v>
      </c>
      <c r="H830" s="24" t="s">
        <v>3587</v>
      </c>
      <c r="I830" s="23" t="s">
        <v>3403</v>
      </c>
      <c r="J830" s="5" t="str">
        <f ca="1">IFERROR(__xludf.DUMMYFUNCTION("GOOGLETRANSLATE(G830,""ar"",""en"")"),"Al-Dahia neighborhood")</f>
        <v>Al-Dahia neighborhood</v>
      </c>
      <c r="K830" s="11">
        <v>551394979</v>
      </c>
      <c r="L830" s="11" t="s">
        <v>3458</v>
      </c>
      <c r="M830" s="5" t="str">
        <f ca="1">IFERROR(__xludf.DUMMYFUNCTION("GOOGLETRANSLATE(J830,""ar"",""en"")"),"Ali Al-Hamdani")</f>
        <v>Ali Al-Hamdani</v>
      </c>
      <c r="N830" s="12" t="s">
        <v>3459</v>
      </c>
      <c r="O830" s="10" t="s">
        <v>3460</v>
      </c>
    </row>
    <row r="831" spans="1:15" ht="20.100000000000001" customHeight="1" thickTop="1" thickBot="1">
      <c r="A831" s="1"/>
      <c r="B831" s="22">
        <v>830</v>
      </c>
      <c r="C831" s="22" t="s">
        <v>3461</v>
      </c>
      <c r="D831" s="22" t="s">
        <v>13</v>
      </c>
      <c r="E831" s="22" t="s">
        <v>3462</v>
      </c>
      <c r="F831" s="22" t="str">
        <f ca="1">IFERROR(__xludf.DUMMYFUNCTION("GOOGLETRANSLATE(E831,""ar"",""en"")"),"Manama Candle Markets")</f>
        <v>Manama Candle Markets</v>
      </c>
      <c r="G831" s="22" t="s">
        <v>3585</v>
      </c>
      <c r="H831" s="24" t="s">
        <v>3587</v>
      </c>
      <c r="I831" s="22" t="s">
        <v>3403</v>
      </c>
      <c r="J831" s="5" t="str">
        <f ca="1">IFERROR(__xludf.DUMMYFUNCTION("GOOGLETRANSLATE(G831,""ar"",""en"")"),"Al-Dahia neighborhood")</f>
        <v>Al-Dahia neighborhood</v>
      </c>
      <c r="K831" s="5">
        <v>538413529</v>
      </c>
      <c r="L831" s="5" t="s">
        <v>1175</v>
      </c>
      <c r="M831" s="5" t="str">
        <f ca="1">IFERROR(__xludf.DUMMYFUNCTION("GOOGLETRANSLATE(J831,""ar"",""en"")"),"Abu Iyad")</f>
        <v>Abu Iyad</v>
      </c>
      <c r="N831" s="6" t="s">
        <v>3463</v>
      </c>
      <c r="O831" s="10" t="s">
        <v>3464</v>
      </c>
    </row>
    <row r="832" spans="1:15" ht="20.100000000000001" customHeight="1" thickTop="1" thickBot="1">
      <c r="A832" s="1"/>
      <c r="B832" s="22">
        <v>831</v>
      </c>
      <c r="C832" s="22" t="s">
        <v>3465</v>
      </c>
      <c r="D832" s="22" t="s">
        <v>13</v>
      </c>
      <c r="E832" s="23" t="s">
        <v>3466</v>
      </c>
      <c r="F832" s="22" t="str">
        <f ca="1">IFERROR(__xludf.DUMMYFUNCTION("GOOGLETRANSLATE(E832,""ar"",""en"")"),"Najmat Al-Urouba Markets")</f>
        <v>Najmat Al-Urouba Markets</v>
      </c>
      <c r="G832" s="22" t="s">
        <v>3585</v>
      </c>
      <c r="H832" s="24" t="s">
        <v>3587</v>
      </c>
      <c r="I832" s="23" t="s">
        <v>3403</v>
      </c>
      <c r="J832" s="5" t="str">
        <f ca="1">IFERROR(__xludf.DUMMYFUNCTION("GOOGLETRANSLATE(G832,""ar"",""en"")"),"Al-Dahia neighborhood")</f>
        <v>Al-Dahia neighborhood</v>
      </c>
      <c r="K832" s="11">
        <v>535870565</v>
      </c>
      <c r="L832" s="11" t="s">
        <v>3467</v>
      </c>
      <c r="M832" s="5" t="str">
        <f ca="1">IFERROR(__xludf.DUMMYFUNCTION("GOOGLETRANSLATE(J832,""ar"",""en"")"),"Suhaib Al-Awadhi")</f>
        <v>Suhaib Al-Awadhi</v>
      </c>
      <c r="N832" s="12" t="s">
        <v>3468</v>
      </c>
      <c r="O832" s="10" t="s">
        <v>3469</v>
      </c>
    </row>
    <row r="833" spans="1:15" ht="20.100000000000001" customHeight="1" thickTop="1" thickBot="1">
      <c r="A833" s="1"/>
      <c r="B833" s="22">
        <v>832</v>
      </c>
      <c r="C833" s="22" t="s">
        <v>3470</v>
      </c>
      <c r="D833" s="22" t="s">
        <v>13</v>
      </c>
      <c r="E833" s="22" t="s">
        <v>3471</v>
      </c>
      <c r="F833" s="22" t="str">
        <f ca="1">IFERROR(__xludf.DUMMYFUNCTION("GOOGLETRANSLATE(E833,""ar"",""en"")"),"Rabou Al Baraka Supplies")</f>
        <v>Rabou Al Baraka Supplies</v>
      </c>
      <c r="G833" s="22" t="s">
        <v>3585</v>
      </c>
      <c r="H833" s="24" t="s">
        <v>3587</v>
      </c>
      <c r="I833" s="22" t="s">
        <v>3403</v>
      </c>
      <c r="J833" s="5" t="str">
        <f ca="1">IFERROR(__xludf.DUMMYFUNCTION("GOOGLETRANSLATE(G833,""ar"",""en"")"),"Al-Dahia neighborhood")</f>
        <v>Al-Dahia neighborhood</v>
      </c>
      <c r="K833" s="5">
        <v>578552488</v>
      </c>
      <c r="L833" s="5" t="s">
        <v>1747</v>
      </c>
      <c r="M833" s="5" t="str">
        <f ca="1">IFERROR(__xludf.DUMMYFUNCTION("GOOGLETRANSLATE(J833,""ar"",""en"")"),"Rashid")</f>
        <v>Rashid</v>
      </c>
      <c r="N833" s="6" t="s">
        <v>3472</v>
      </c>
      <c r="O833" s="10" t="s">
        <v>3473</v>
      </c>
    </row>
    <row r="834" spans="1:15" ht="20.100000000000001" customHeight="1" thickTop="1" thickBot="1">
      <c r="A834" s="1"/>
      <c r="B834" s="22">
        <v>833</v>
      </c>
      <c r="C834" s="22" t="s">
        <v>3474</v>
      </c>
      <c r="D834" s="22" t="s">
        <v>13</v>
      </c>
      <c r="E834" s="23" t="s">
        <v>3475</v>
      </c>
      <c r="F834" s="22" t="str">
        <f ca="1">IFERROR(__xludf.DUMMYFUNCTION("GOOGLETRANSLATE(E834,""ar"",""en"")"),"Consumer stores")</f>
        <v>Consumer stores</v>
      </c>
      <c r="G834" s="22" t="s">
        <v>3585</v>
      </c>
      <c r="H834" s="24" t="s">
        <v>3587</v>
      </c>
      <c r="I834" s="23" t="s">
        <v>3403</v>
      </c>
      <c r="J834" s="5" t="str">
        <f ca="1">IFERROR(__xludf.DUMMYFUNCTION("GOOGLETRANSLATE(G834,""ar"",""en"")"),"Al-Dahia neighborhood")</f>
        <v>Al-Dahia neighborhood</v>
      </c>
      <c r="K834" s="11">
        <v>537169976</v>
      </c>
      <c r="L834" s="11" t="s">
        <v>3476</v>
      </c>
      <c r="M834" s="5" t="str">
        <f ca="1">IFERROR(__xludf.DUMMYFUNCTION("GOOGLETRANSLATE(J834,""ar"",""en"")"),"cashier")</f>
        <v>cashier</v>
      </c>
      <c r="N834" s="12" t="s">
        <v>3477</v>
      </c>
      <c r="O834" s="10" t="s">
        <v>3478</v>
      </c>
    </row>
    <row r="835" spans="1:15" ht="20.100000000000001" customHeight="1" thickTop="1" thickBot="1">
      <c r="A835" s="1"/>
      <c r="B835" s="22">
        <v>834</v>
      </c>
      <c r="C835" s="22" t="s">
        <v>3479</v>
      </c>
      <c r="D835" s="22" t="s">
        <v>13</v>
      </c>
      <c r="E835" s="22" t="s">
        <v>3480</v>
      </c>
      <c r="F835" s="22" t="str">
        <f ca="1">IFERROR(__xludf.DUMMYFUNCTION("GOOGLETRANSLATE(E835,""ar"",""en"")"),"Suburb Supply Stores")</f>
        <v>Suburb Supply Stores</v>
      </c>
      <c r="G835" s="22" t="s">
        <v>3585</v>
      </c>
      <c r="H835" s="24" t="s">
        <v>3587</v>
      </c>
      <c r="I835" s="22" t="s">
        <v>3403</v>
      </c>
      <c r="J835" s="5" t="str">
        <f ca="1">IFERROR(__xludf.DUMMYFUNCTION("GOOGLETRANSLATE(G835,""ar"",""en"")"),"Al-Dahia neighborhood")</f>
        <v>Al-Dahia neighborhood</v>
      </c>
      <c r="K835" s="5">
        <v>560053266</v>
      </c>
      <c r="L835" s="5" t="s">
        <v>3481</v>
      </c>
      <c r="M835" s="5" t="str">
        <f ca="1">IFERROR(__xludf.DUMMYFUNCTION("GOOGLETRANSLATE(J835,""ar"",""en"")"),"Abu Yusuf")</f>
        <v>Abu Yusuf</v>
      </c>
      <c r="N835" s="6" t="s">
        <v>3482</v>
      </c>
      <c r="O835" s="10" t="s">
        <v>3483</v>
      </c>
    </row>
    <row r="836" spans="1:15" ht="20.100000000000001" customHeight="1" thickTop="1" thickBot="1">
      <c r="A836" s="1"/>
      <c r="B836" s="22">
        <v>835</v>
      </c>
      <c r="C836" s="22" t="s">
        <v>3484</v>
      </c>
      <c r="D836" s="22" t="s">
        <v>13</v>
      </c>
      <c r="E836" s="23" t="s">
        <v>3485</v>
      </c>
      <c r="F836" s="22" t="str">
        <f ca="1">IFERROR(__xludf.DUMMYFUNCTION("GOOGLETRANSLATE(E836,""ar"",""en"")"),"Al Anoud Central Markets")</f>
        <v>Al Anoud Central Markets</v>
      </c>
      <c r="G836" s="22" t="s">
        <v>3585</v>
      </c>
      <c r="H836" s="24" t="s">
        <v>3587</v>
      </c>
      <c r="I836" s="23" t="s">
        <v>3403</v>
      </c>
      <c r="J836" s="5" t="str">
        <f ca="1">IFERROR(__xludf.DUMMYFUNCTION("GOOGLETRANSLATE(G836,""ar"",""en"")"),"Al-Dahia neighborhood")</f>
        <v>Al-Dahia neighborhood</v>
      </c>
      <c r="K836" s="11">
        <v>505357871</v>
      </c>
      <c r="L836" s="11" t="s">
        <v>3486</v>
      </c>
      <c r="M836" s="5" t="str">
        <f ca="1">IFERROR(__xludf.DUMMYFUNCTION("GOOGLETRANSLATE(J836,""ar"",""en"")"),"Hussein Al-Amiri")</f>
        <v>Hussein Al-Amiri</v>
      </c>
      <c r="N836" s="12" t="s">
        <v>3487</v>
      </c>
      <c r="O836" s="10" t="s">
        <v>3488</v>
      </c>
    </row>
    <row r="837" spans="1:15" ht="20.100000000000001" customHeight="1" thickTop="1" thickBot="1">
      <c r="A837" s="1"/>
      <c r="B837" s="22">
        <v>836</v>
      </c>
      <c r="C837" s="22" t="s">
        <v>3489</v>
      </c>
      <c r="D837" s="22" t="s">
        <v>13</v>
      </c>
      <c r="E837" s="22" t="s">
        <v>3490</v>
      </c>
      <c r="F837" s="22" t="str">
        <f ca="1">IFERROR(__xludf.DUMMYFUNCTION("GOOGLETRANSLATE(E837,""ar"",""en"")"),"Al-Sayari Provisions")</f>
        <v>Al-Sayari Provisions</v>
      </c>
      <c r="G837" s="22" t="s">
        <v>3585</v>
      </c>
      <c r="H837" s="24" t="s">
        <v>3587</v>
      </c>
      <c r="I837" s="22" t="s">
        <v>3403</v>
      </c>
      <c r="J837" s="5" t="str">
        <f ca="1">IFERROR(__xludf.DUMMYFUNCTION("GOOGLETRANSLATE(G837,""ar"",""en"")"),"Al-Dahia neighborhood")</f>
        <v>Al-Dahia neighborhood</v>
      </c>
      <c r="K837" s="5">
        <v>536226917</v>
      </c>
      <c r="L837" s="5" t="s">
        <v>3491</v>
      </c>
      <c r="M837" s="5" t="str">
        <f ca="1">IFERROR(__xludf.DUMMYFUNCTION("GOOGLETRANSLATE(J837,""ar"",""en"")"),"Naif Al-Amoudi")</f>
        <v>Naif Al-Amoudi</v>
      </c>
      <c r="N837" s="6" t="s">
        <v>3492</v>
      </c>
      <c r="O837" s="10" t="s">
        <v>3493</v>
      </c>
    </row>
    <row r="838" spans="1:15" ht="20.100000000000001" customHeight="1" thickTop="1" thickBot="1">
      <c r="A838" s="1"/>
      <c r="B838" s="22">
        <v>837</v>
      </c>
      <c r="C838" s="22" t="s">
        <v>3494</v>
      </c>
      <c r="D838" s="22" t="s">
        <v>13</v>
      </c>
      <c r="E838" s="23" t="s">
        <v>3495</v>
      </c>
      <c r="F838" s="22" t="str">
        <f ca="1">IFERROR(__xludf.DUMMYFUNCTION("GOOGLETRANSLATE(E838,""ar"",""en"")"),"Caravan Baskets Marketing")</f>
        <v>Caravan Baskets Marketing</v>
      </c>
      <c r="G838" s="22" t="s">
        <v>3585</v>
      </c>
      <c r="H838" s="24" t="s">
        <v>3587</v>
      </c>
      <c r="I838" s="23" t="s">
        <v>3403</v>
      </c>
      <c r="J838" s="5" t="str">
        <f ca="1">IFERROR(__xludf.DUMMYFUNCTION("GOOGLETRANSLATE(G838,""ar"",""en"")"),"Al-Dahia neighborhood")</f>
        <v>Al-Dahia neighborhood</v>
      </c>
      <c r="K838" s="11">
        <v>558609965</v>
      </c>
      <c r="L838" s="11" t="s">
        <v>3496</v>
      </c>
      <c r="M838" s="5" t="str">
        <f ca="1">IFERROR(__xludf.DUMMYFUNCTION("GOOGLETRANSLATE(J838,""ar"",""en"")"),"Emad")</f>
        <v>Emad</v>
      </c>
      <c r="N838" s="12" t="s">
        <v>3497</v>
      </c>
      <c r="O838" s="10" t="s">
        <v>3498</v>
      </c>
    </row>
    <row r="839" spans="1:15" ht="20.100000000000001" customHeight="1" thickTop="1" thickBot="1">
      <c r="A839" s="1"/>
      <c r="B839" s="22">
        <v>838</v>
      </c>
      <c r="C839" s="22" t="s">
        <v>3499</v>
      </c>
      <c r="D839" s="22" t="s">
        <v>13</v>
      </c>
      <c r="E839" s="22" t="s">
        <v>3500</v>
      </c>
      <c r="F839" s="22" t="str">
        <f ca="1">IFERROR(__xludf.DUMMYFUNCTION("GOOGLETRANSLATE(E839,""ar"",""en"")"),"Qouz Markets")</f>
        <v>Qouz Markets</v>
      </c>
      <c r="G839" s="22" t="s">
        <v>3585</v>
      </c>
      <c r="H839" s="24" t="s">
        <v>3587</v>
      </c>
      <c r="I839" s="22" t="s">
        <v>3403</v>
      </c>
      <c r="J839" s="5" t="str">
        <f ca="1">IFERROR(__xludf.DUMMYFUNCTION("GOOGLETRANSLATE(G839,""ar"",""en"")"),"Al-Dahia neighborhood")</f>
        <v>Al-Dahia neighborhood</v>
      </c>
      <c r="K839" s="5">
        <v>557591143</v>
      </c>
      <c r="L839" s="5" t="s">
        <v>919</v>
      </c>
      <c r="M839" s="5" t="str">
        <f ca="1">IFERROR(__xludf.DUMMYFUNCTION("GOOGLETRANSLATE(J839,""ar"",""en"")"),"righteous")</f>
        <v>righteous</v>
      </c>
      <c r="N839" s="6" t="s">
        <v>3501</v>
      </c>
      <c r="O839" s="10" t="s">
        <v>3502</v>
      </c>
    </row>
    <row r="840" spans="1:15" ht="20.100000000000001" customHeight="1" thickTop="1" thickBot="1">
      <c r="A840" s="1"/>
      <c r="B840" s="22">
        <v>839</v>
      </c>
      <c r="C840" s="22" t="s">
        <v>3503</v>
      </c>
      <c r="D840" s="22" t="s">
        <v>13</v>
      </c>
      <c r="E840" s="23" t="s">
        <v>3504</v>
      </c>
      <c r="F840" s="22" t="str">
        <f ca="1">IFERROR(__xludf.DUMMYFUNCTION("GOOGLETRANSLATE(E840,""ar"",""en"")"),"Noha Al-Zahrani Grocery")</f>
        <v>Noha Al-Zahrani Grocery</v>
      </c>
      <c r="G840" s="22" t="s">
        <v>3585</v>
      </c>
      <c r="H840" s="24" t="s">
        <v>3587</v>
      </c>
      <c r="I840" s="23" t="s">
        <v>3403</v>
      </c>
      <c r="J840" s="5" t="str">
        <f ca="1">IFERROR(__xludf.DUMMYFUNCTION("GOOGLETRANSLATE(G840,""ar"",""en"")"),"Al-Dahia neighborhood")</f>
        <v>Al-Dahia neighborhood</v>
      </c>
      <c r="K840" s="11">
        <v>571239709</v>
      </c>
      <c r="L840" s="11" t="s">
        <v>3505</v>
      </c>
      <c r="M840" s="5" t="str">
        <f ca="1">IFERROR(__xludf.DUMMYFUNCTION("GOOGLETRANSLATE(J840,""ar"",""en"")"),"Anwar Khan")</f>
        <v>Anwar Khan</v>
      </c>
      <c r="N840" s="12" t="s">
        <v>3506</v>
      </c>
      <c r="O840" s="10" t="s">
        <v>3507</v>
      </c>
    </row>
    <row r="841" spans="1:15" ht="20.100000000000001" customHeight="1" thickTop="1" thickBot="1">
      <c r="A841" s="1"/>
      <c r="B841" s="22">
        <v>840</v>
      </c>
      <c r="C841" s="22" t="s">
        <v>3508</v>
      </c>
      <c r="D841" s="22" t="s">
        <v>13</v>
      </c>
      <c r="E841" s="22" t="s">
        <v>3509</v>
      </c>
      <c r="F841" s="22" t="str">
        <f ca="1">IFERROR(__xludf.DUMMYFUNCTION("GOOGLETRANSLATE(E841,""ar"",""en"")"),"Khayrat Al-Dahia Supplies")</f>
        <v>Khayrat Al-Dahia Supplies</v>
      </c>
      <c r="G841" s="22" t="s">
        <v>3585</v>
      </c>
      <c r="H841" s="24" t="s">
        <v>3587</v>
      </c>
      <c r="I841" s="22" t="s">
        <v>3403</v>
      </c>
      <c r="J841" s="5" t="str">
        <f ca="1">IFERROR(__xludf.DUMMYFUNCTION("GOOGLETRANSLATE(G841,""ar"",""en"")"),"Al-Dahia neighborhood")</f>
        <v>Al-Dahia neighborhood</v>
      </c>
      <c r="K841" s="5">
        <v>502164603</v>
      </c>
      <c r="L841" s="5" t="s">
        <v>3510</v>
      </c>
      <c r="M841" s="5" t="str">
        <f ca="1">IFERROR(__xludf.DUMMYFUNCTION("GOOGLETRANSLATE(J841,""ar"",""en"")"),"breeze")</f>
        <v>breeze</v>
      </c>
      <c r="N841" s="6" t="s">
        <v>3511</v>
      </c>
      <c r="O841" s="10" t="s">
        <v>3512</v>
      </c>
    </row>
    <row r="842" spans="1:15" ht="20.100000000000001" customHeight="1" thickTop="1" thickBot="1">
      <c r="A842" s="1"/>
      <c r="B842" s="22">
        <v>841</v>
      </c>
      <c r="C842" s="22" t="s">
        <v>3513</v>
      </c>
      <c r="D842" s="22" t="s">
        <v>13</v>
      </c>
      <c r="E842" s="23" t="s">
        <v>3514</v>
      </c>
      <c r="F842" s="22" t="str">
        <f ca="1">IFERROR(__xludf.DUMMYFUNCTION("GOOGLETRANSLATE(E842,""ar"",""en"")"),"Fahad's Supplies")</f>
        <v>Fahad's Supplies</v>
      </c>
      <c r="G842" s="22" t="s">
        <v>3585</v>
      </c>
      <c r="H842" s="24" t="s">
        <v>3587</v>
      </c>
      <c r="I842" s="23" t="s">
        <v>3403</v>
      </c>
      <c r="J842" s="5" t="str">
        <f ca="1">IFERROR(__xludf.DUMMYFUNCTION("GOOGLETRANSLATE(G842,""ar"",""en"")"),"Al-Dahia neighborhood")</f>
        <v>Al-Dahia neighborhood</v>
      </c>
      <c r="K842" s="11">
        <v>536848551</v>
      </c>
      <c r="L842" s="11" t="s">
        <v>3515</v>
      </c>
      <c r="M842" s="5" t="str">
        <f ca="1">IFERROR(__xludf.DUMMYFUNCTION("GOOGLETRANSLATE(J842,""ar"",""en"")"),"Saeed Bakiran")</f>
        <v>Saeed Bakiran</v>
      </c>
      <c r="N842" s="12" t="s">
        <v>3516</v>
      </c>
      <c r="O842" s="10" t="s">
        <v>3517</v>
      </c>
    </row>
    <row r="843" spans="1:15" ht="20.100000000000001" customHeight="1" thickTop="1" thickBot="1">
      <c r="A843" s="1"/>
      <c r="B843" s="22">
        <v>842</v>
      </c>
      <c r="C843" s="22" t="s">
        <v>3518</v>
      </c>
      <c r="D843" s="22" t="s">
        <v>13</v>
      </c>
      <c r="E843" s="22" t="s">
        <v>3519</v>
      </c>
      <c r="F843" s="22" t="str">
        <f ca="1">IFERROR(__xludf.DUMMYFUNCTION("GOOGLETRANSLATE(E843,""ar"",""en"")"),"Markets are a place for everyone")</f>
        <v>Markets are a place for everyone</v>
      </c>
      <c r="G843" s="22" t="s">
        <v>3585</v>
      </c>
      <c r="H843" s="24" t="s">
        <v>3587</v>
      </c>
      <c r="I843" s="22" t="s">
        <v>3403</v>
      </c>
      <c r="J843" s="5" t="str">
        <f ca="1">IFERROR(__xludf.DUMMYFUNCTION("GOOGLETRANSLATE(G843,""ar"",""en"")"),"Al-Dahia neighborhood")</f>
        <v>Al-Dahia neighborhood</v>
      </c>
      <c r="K843" s="5">
        <v>507406069</v>
      </c>
      <c r="L843" s="5" t="s">
        <v>3520</v>
      </c>
      <c r="M843" s="5" t="str">
        <f ca="1">IFERROR(__xludf.DUMMYFUNCTION("GOOGLETRANSLATE(J843,""ar"",""en"")"),"Fahad")</f>
        <v>Fahad</v>
      </c>
      <c r="N843" s="6" t="s">
        <v>3521</v>
      </c>
      <c r="O843" s="10" t="s">
        <v>3522</v>
      </c>
    </row>
    <row r="844" spans="1:15" ht="20.100000000000001" customHeight="1" thickTop="1" thickBot="1">
      <c r="A844" s="1"/>
      <c r="B844" s="22">
        <v>843</v>
      </c>
      <c r="C844" s="22" t="s">
        <v>3523</v>
      </c>
      <c r="D844" s="22" t="s">
        <v>13</v>
      </c>
      <c r="E844" s="23" t="s">
        <v>3524</v>
      </c>
      <c r="F844" s="22" t="str">
        <f ca="1">IFERROR(__xludf.DUMMYFUNCTION("GOOGLETRANSLATE(E844,""ar"",""en"")"),"Last Range Supplies")</f>
        <v>Last Range Supplies</v>
      </c>
      <c r="G844" s="22" t="s">
        <v>3585</v>
      </c>
      <c r="H844" s="24" t="s">
        <v>3587</v>
      </c>
      <c r="I844" s="23" t="s">
        <v>3403</v>
      </c>
      <c r="J844" s="5" t="str">
        <f ca="1">IFERROR(__xludf.DUMMYFUNCTION("GOOGLETRANSLATE(G844,""ar"",""en"")"),"Al-Dahia neighborhood")</f>
        <v>Al-Dahia neighborhood</v>
      </c>
      <c r="K844" s="11">
        <v>577209317</v>
      </c>
      <c r="L844" s="11" t="s">
        <v>3048</v>
      </c>
      <c r="M844" s="5" t="str">
        <f ca="1">IFERROR(__xludf.DUMMYFUNCTION("GOOGLETRANSLATE(J844,""ar"",""en"")"),"Grocery number")</f>
        <v>Grocery number</v>
      </c>
      <c r="N844" s="12" t="s">
        <v>3525</v>
      </c>
      <c r="O844" s="10" t="s">
        <v>3526</v>
      </c>
    </row>
    <row r="845" spans="1:15" ht="20.100000000000001" customHeight="1" thickTop="1" thickBot="1">
      <c r="A845" s="1"/>
      <c r="B845" s="22">
        <v>844</v>
      </c>
      <c r="C845" s="22" t="s">
        <v>3527</v>
      </c>
      <c r="D845" s="22" t="s">
        <v>13</v>
      </c>
      <c r="E845" s="22" t="s">
        <v>3528</v>
      </c>
      <c r="F845" s="22" t="str">
        <f ca="1">IFERROR(__xludf.DUMMYFUNCTION("GOOGLETRANSLATE(E845,""ar"",""en"")"),"Athq Salma Foundation")</f>
        <v>Athq Salma Foundation</v>
      </c>
      <c r="G845" s="22" t="s">
        <v>3585</v>
      </c>
      <c r="H845" s="24" t="s">
        <v>3587</v>
      </c>
      <c r="I845" s="22" t="s">
        <v>3403</v>
      </c>
      <c r="J845" s="5" t="str">
        <f ca="1">IFERROR(__xludf.DUMMYFUNCTION("GOOGLETRANSLATE(G845,""ar"",""en"")"),"Al-Dahia neighborhood")</f>
        <v>Al-Dahia neighborhood</v>
      </c>
      <c r="K845" s="5">
        <v>572957876</v>
      </c>
      <c r="L845" s="5" t="s">
        <v>3529</v>
      </c>
      <c r="M845" s="5" t="str">
        <f ca="1">IFERROR(__xludf.DUMMYFUNCTION("GOOGLETRANSLATE(J845,""ar"",""en"")"),"Shaheen")</f>
        <v>Shaheen</v>
      </c>
      <c r="N845" s="6" t="s">
        <v>3530</v>
      </c>
      <c r="O845" s="10" t="s">
        <v>3531</v>
      </c>
    </row>
    <row r="846" spans="1:15" ht="20.100000000000001" customHeight="1" thickTop="1" thickBot="1">
      <c r="A846" s="1"/>
      <c r="B846" s="22">
        <v>845</v>
      </c>
      <c r="C846" s="22" t="s">
        <v>3532</v>
      </c>
      <c r="D846" s="22" t="s">
        <v>13</v>
      </c>
      <c r="E846" s="23" t="s">
        <v>3519</v>
      </c>
      <c r="F846" s="22" t="str">
        <f ca="1">IFERROR(__xludf.DUMMYFUNCTION("GOOGLETRANSLATE(E846,""ar"",""en"")"),"Markets are a place for everyone")</f>
        <v>Markets are a place for everyone</v>
      </c>
      <c r="G846" s="22" t="s">
        <v>3585</v>
      </c>
      <c r="H846" s="24" t="s">
        <v>3587</v>
      </c>
      <c r="I846" s="23" t="s">
        <v>3403</v>
      </c>
      <c r="J846" s="5" t="str">
        <f ca="1">IFERROR(__xludf.DUMMYFUNCTION("GOOGLETRANSLATE(G846,""ar"",""en"")"),"Al-Dahia neighborhood")</f>
        <v>Al-Dahia neighborhood</v>
      </c>
      <c r="K846" s="11">
        <v>572267112</v>
      </c>
      <c r="L846" s="11" t="s">
        <v>3533</v>
      </c>
      <c r="M846" s="5" t="str">
        <f ca="1">IFERROR(__xludf.DUMMYFUNCTION("GOOGLETRANSLATE(J846,""ar"",""en"")"),"Ala")</f>
        <v>Ala</v>
      </c>
      <c r="N846" s="12" t="s">
        <v>3534</v>
      </c>
      <c r="O846" s="10" t="s">
        <v>3535</v>
      </c>
    </row>
    <row r="847" spans="1:15" ht="20.100000000000001" customHeight="1" thickTop="1" thickBot="1">
      <c r="A847" s="1"/>
      <c r="B847" s="22">
        <v>846</v>
      </c>
      <c r="C847" s="22" t="s">
        <v>3536</v>
      </c>
      <c r="D847" s="22" t="s">
        <v>13</v>
      </c>
      <c r="E847" s="22" t="s">
        <v>3537</v>
      </c>
      <c r="F847" s="22" t="str">
        <f ca="1">IFERROR(__xludf.DUMMYFUNCTION("GOOGLETRANSLATE(E847,""ar"",""en"")"),"Shams Al Saada Provisions")</f>
        <v>Shams Al Saada Provisions</v>
      </c>
      <c r="G847" s="22" t="s">
        <v>3585</v>
      </c>
      <c r="H847" s="24" t="s">
        <v>3587</v>
      </c>
      <c r="I847" s="22" t="s">
        <v>3403</v>
      </c>
      <c r="J847" s="5" t="str">
        <f ca="1">IFERROR(__xludf.DUMMYFUNCTION("GOOGLETRANSLATE(G847,""ar"",""en"")"),"Al-Dahia neighborhood")</f>
        <v>Al-Dahia neighborhood</v>
      </c>
      <c r="K847" s="5">
        <v>583072364</v>
      </c>
      <c r="L847" s="5" t="s">
        <v>3538</v>
      </c>
      <c r="M847" s="5" t="str">
        <f ca="1">IFERROR(__xludf.DUMMYFUNCTION("GOOGLETRANSLATE(J847,""ar"",""en"")"),"Sharif")</f>
        <v>Sharif</v>
      </c>
      <c r="N847" s="6" t="s">
        <v>3539</v>
      </c>
      <c r="O847" s="10" t="s">
        <v>3540</v>
      </c>
    </row>
    <row r="848" spans="1:15" ht="20.100000000000001" customHeight="1" thickTop="1" thickBot="1">
      <c r="A848" s="1"/>
      <c r="B848" s="22">
        <v>847</v>
      </c>
      <c r="C848" s="22" t="s">
        <v>3541</v>
      </c>
      <c r="D848" s="22" t="s">
        <v>13</v>
      </c>
      <c r="E848" s="23" t="s">
        <v>3542</v>
      </c>
      <c r="F848" s="22" t="str">
        <f ca="1">IFERROR(__xludf.DUMMYFUNCTION("GOOGLETRANSLATE(E848,""ar"",""en"")"),"Easy Goods Supplies")</f>
        <v>Easy Goods Supplies</v>
      </c>
      <c r="G848" s="22" t="s">
        <v>3585</v>
      </c>
      <c r="H848" s="24" t="s">
        <v>3587</v>
      </c>
      <c r="I848" s="23" t="s">
        <v>3403</v>
      </c>
      <c r="J848" s="5" t="str">
        <f ca="1">IFERROR(__xludf.DUMMYFUNCTION("GOOGLETRANSLATE(G848,""ar"",""en"")"),"Al-Dahia neighborhood")</f>
        <v>Al-Dahia neighborhood</v>
      </c>
      <c r="K848" s="11"/>
      <c r="L848" s="11"/>
      <c r="M848" s="5" t="str">
        <f ca="1">IFERROR(__xludf.DUMMYFUNCTION("GOOGLETRANSLATE(J848,""ar"",""en"")"),"#VALUE!")</f>
        <v>#VALUE!</v>
      </c>
      <c r="N848" s="12" t="s">
        <v>3543</v>
      </c>
      <c r="O848" s="10" t="s">
        <v>3544</v>
      </c>
    </row>
    <row r="849" spans="1:15" ht="20.100000000000001" customHeight="1" thickTop="1" thickBot="1">
      <c r="A849" s="1"/>
      <c r="B849" s="22">
        <v>848</v>
      </c>
      <c r="C849" s="22" t="s">
        <v>3545</v>
      </c>
      <c r="D849" s="22" t="s">
        <v>13</v>
      </c>
      <c r="E849" s="22" t="s">
        <v>3546</v>
      </c>
      <c r="F849" s="22" t="str">
        <f ca="1">IFERROR(__xludf.DUMMYFUNCTION("GOOGLETRANSLATE(E849,""ar"",""en"")"),"Zad Cart Supplies")</f>
        <v>Zad Cart Supplies</v>
      </c>
      <c r="G849" s="22" t="s">
        <v>3585</v>
      </c>
      <c r="H849" s="24" t="s">
        <v>3587</v>
      </c>
      <c r="I849" s="22" t="s">
        <v>3403</v>
      </c>
      <c r="J849" s="5" t="str">
        <f ca="1">IFERROR(__xludf.DUMMYFUNCTION("GOOGLETRANSLATE(G849,""ar"",""en"")"),"Al-Dahia neighborhood")</f>
        <v>Al-Dahia neighborhood</v>
      </c>
      <c r="K849" s="5">
        <v>579559923</v>
      </c>
      <c r="L849" s="5" t="s">
        <v>779</v>
      </c>
      <c r="M849" s="5" t="str">
        <f ca="1">IFERROR(__xludf.DUMMYFUNCTION("GOOGLETRANSLATE(J849,""ar"",""en"")"),"Saleh Ahmed")</f>
        <v>Saleh Ahmed</v>
      </c>
      <c r="N849" s="6" t="s">
        <v>3547</v>
      </c>
      <c r="O849" s="10" t="s">
        <v>3548</v>
      </c>
    </row>
    <row r="850" spans="1:15" ht="20.100000000000001" customHeight="1" thickTop="1" thickBot="1">
      <c r="A850" s="1"/>
      <c r="B850" s="22">
        <v>849</v>
      </c>
      <c r="C850" s="22" t="s">
        <v>3549</v>
      </c>
      <c r="D850" s="22" t="s">
        <v>13</v>
      </c>
      <c r="E850" s="23" t="s">
        <v>3550</v>
      </c>
      <c r="F850" s="22" t="str">
        <f ca="1">IFERROR(__xludf.DUMMYFUNCTION("GOOGLETRANSLATE(E850,""ar"",""en"")"),"Fifth and ninth (Sakina Grocery) Al-Dahia neighborhood")</f>
        <v>Fifth and ninth (Sakina Grocery) Al-Dahia neighborhood</v>
      </c>
      <c r="G850" s="22" t="s">
        <v>3585</v>
      </c>
      <c r="H850" s="24" t="s">
        <v>3587</v>
      </c>
      <c r="I850" s="22" t="s">
        <v>3403</v>
      </c>
      <c r="J850" s="5" t="str">
        <f ca="1">IFERROR(__xludf.DUMMYFUNCTION("GOOGLETRANSLATE(G850,""ar"",""en"")"),"Al-Dahia neighborhood")</f>
        <v>Al-Dahia neighborhood</v>
      </c>
      <c r="K850" s="11">
        <v>557404035</v>
      </c>
      <c r="L850" s="11" t="s">
        <v>3551</v>
      </c>
      <c r="M850" s="5" t="str">
        <f ca="1">IFERROR(__xludf.DUMMYFUNCTION("GOOGLETRANSLATE(J850,""ar"",""en"")"),"supporter")</f>
        <v>supporter</v>
      </c>
      <c r="N850" s="12" t="s">
        <v>3552</v>
      </c>
      <c r="O850" s="10" t="s">
        <v>3553</v>
      </c>
    </row>
    <row r="851" spans="1:15" ht="20.100000000000001" customHeight="1" thickTop="1" thickBot="1">
      <c r="A851" s="1"/>
      <c r="B851" s="22">
        <v>850</v>
      </c>
      <c r="C851" s="22" t="s">
        <v>3554</v>
      </c>
      <c r="D851" s="22" t="s">
        <v>13</v>
      </c>
      <c r="E851" s="22" t="s">
        <v>3555</v>
      </c>
      <c r="F851" s="22" t="str">
        <f ca="1">IFERROR(__xludf.DUMMYFUNCTION("GOOGLETRANSLATE(E851,""ar"",""en"")"),"Allmart Markets and Bakeries")</f>
        <v>Allmart Markets and Bakeries</v>
      </c>
      <c r="G851" s="22" t="s">
        <v>3585</v>
      </c>
      <c r="H851" s="24" t="s">
        <v>3587</v>
      </c>
      <c r="I851" s="22" t="s">
        <v>3403</v>
      </c>
      <c r="J851" s="5" t="str">
        <f ca="1">IFERROR(__xludf.DUMMYFUNCTION("GOOGLETRANSLATE(G851,""ar"",""en"")"),"Al-Dahia neighborhood")</f>
        <v>Al-Dahia neighborhood</v>
      </c>
      <c r="K851" s="5">
        <v>530444331</v>
      </c>
      <c r="L851" s="5" t="s">
        <v>3556</v>
      </c>
      <c r="M851" s="5" t="str">
        <f ca="1">IFERROR(__xludf.DUMMYFUNCTION("GOOGLETRANSLATE(J851,""ar"",""en"")"),"Ayed")</f>
        <v>Ayed</v>
      </c>
      <c r="N851" s="6" t="s">
        <v>3557</v>
      </c>
      <c r="O851" s="10" t="s">
        <v>3558</v>
      </c>
    </row>
    <row r="852" spans="1:15" ht="20.100000000000001" customHeight="1" thickTop="1" thickBot="1">
      <c r="A852" s="1"/>
      <c r="B852" s="22">
        <v>851</v>
      </c>
      <c r="C852" s="22" t="s">
        <v>3559</v>
      </c>
      <c r="D852" s="22" t="s">
        <v>13</v>
      </c>
      <c r="E852" s="23" t="s">
        <v>3560</v>
      </c>
      <c r="F852" s="22" t="str">
        <f ca="1">IFERROR(__xludf.DUMMYFUNCTION("GOOGLETRANSLATE(E852,""ar"",""en"")"),"Allmart Markets")</f>
        <v>Allmart Markets</v>
      </c>
      <c r="G852" s="22" t="s">
        <v>3585</v>
      </c>
      <c r="H852" s="24" t="s">
        <v>3587</v>
      </c>
      <c r="I852" s="23" t="s">
        <v>3403</v>
      </c>
      <c r="J852" s="5" t="str">
        <f ca="1">IFERROR(__xludf.DUMMYFUNCTION("GOOGLETRANSLATE(G852,""ar"",""en"")"),"Al-Dahia neighborhood")</f>
        <v>Al-Dahia neighborhood</v>
      </c>
      <c r="K852" s="11">
        <v>508118410</v>
      </c>
      <c r="L852" s="11" t="s">
        <v>3561</v>
      </c>
      <c r="M852" s="5" t="str">
        <f ca="1">IFERROR(__xludf.DUMMYFUNCTION("GOOGLETRANSLATE(J852,""ar"",""en"")"),"Qais")</f>
        <v>Qais</v>
      </c>
      <c r="N852" s="12" t="s">
        <v>3562</v>
      </c>
      <c r="O852" s="10" t="s">
        <v>3563</v>
      </c>
    </row>
    <row r="853" spans="1:15" ht="20.100000000000001" customHeight="1" thickTop="1" thickBot="1">
      <c r="A853" s="1"/>
      <c r="B853" s="22">
        <v>852</v>
      </c>
      <c r="C853" s="22" t="s">
        <v>3564</v>
      </c>
      <c r="D853" s="22" t="s">
        <v>13</v>
      </c>
      <c r="E853" s="22" t="s">
        <v>3565</v>
      </c>
      <c r="F853" s="22" t="str">
        <f ca="1">IFERROR(__xludf.DUMMYFUNCTION("GOOGLETRANSLATE(E853,""ar"",""en"")"),"Loyalty to tomorrow")</f>
        <v>Loyalty to tomorrow</v>
      </c>
      <c r="G853" s="22" t="s">
        <v>3585</v>
      </c>
      <c r="H853" s="24" t="s">
        <v>3587</v>
      </c>
      <c r="I853" s="23" t="s">
        <v>3616</v>
      </c>
      <c r="J853" s="5" t="str">
        <f ca="1">IFERROR(__xludf.DUMMYFUNCTION("GOOGLETRANSLATE(G853,""ar"",""en"")"),"Al-Nabiyah neighborhood")</f>
        <v>Al-Nabiyah neighborhood</v>
      </c>
      <c r="K853" s="5">
        <v>556388430</v>
      </c>
      <c r="L853" s="5"/>
      <c r="M853" s="5" t="str">
        <f ca="1">IFERROR(__xludf.DUMMYFUNCTION("GOOGLETRANSLATE(J853,""ar"",""en"")"),"#VALUE!")</f>
        <v>#VALUE!</v>
      </c>
      <c r="N853" s="6" t="s">
        <v>3566</v>
      </c>
      <c r="O853" s="10" t="s">
        <v>3567</v>
      </c>
    </row>
    <row r="854" spans="1:15" ht="20.100000000000001" customHeight="1" thickTop="1" thickBot="1">
      <c r="A854" s="1"/>
      <c r="B854" s="22">
        <v>853</v>
      </c>
      <c r="C854" s="22" t="s">
        <v>3568</v>
      </c>
      <c r="D854" s="22" t="s">
        <v>13</v>
      </c>
      <c r="E854" s="23" t="s">
        <v>2009</v>
      </c>
      <c r="F854" s="22" t="str">
        <f ca="1">IFERROR(__xludf.DUMMYFUNCTION("GOOGLETRANSLATE(E854,""ar"",""en"")"),"Khashman Supplies")</f>
        <v>Khashman Supplies</v>
      </c>
      <c r="G854" s="22" t="s">
        <v>3585</v>
      </c>
      <c r="H854" s="24" t="s">
        <v>3587</v>
      </c>
      <c r="I854" s="23" t="s">
        <v>3616</v>
      </c>
      <c r="J854" s="5" t="str">
        <f ca="1">IFERROR(__xludf.DUMMYFUNCTION("GOOGLETRANSLATE(G854,""ar"",""en"")"),"Al-Nabiyah neighborhood")</f>
        <v>Al-Nabiyah neighborhood</v>
      </c>
      <c r="K854" s="11">
        <v>558594411</v>
      </c>
      <c r="L854" s="11" t="s">
        <v>3569</v>
      </c>
      <c r="M854" s="5" t="str">
        <f ca="1">IFERROR(__xludf.DUMMYFUNCTION("GOOGLETRANSLATE(J854,""ar"",""en"")"),"archer")</f>
        <v>archer</v>
      </c>
      <c r="N854" s="12" t="s">
        <v>3570</v>
      </c>
      <c r="O854" s="10" t="s">
        <v>3571</v>
      </c>
    </row>
    <row r="855" spans="1:15" ht="20.100000000000001" customHeight="1" thickTop="1" thickBot="1">
      <c r="A855" s="1"/>
      <c r="B855" s="22">
        <v>854</v>
      </c>
      <c r="C855" s="22" t="s">
        <v>3572</v>
      </c>
      <c r="D855" s="22" t="s">
        <v>13</v>
      </c>
      <c r="E855" s="22" t="s">
        <v>3573</v>
      </c>
      <c r="F855" s="22" t="str">
        <f ca="1">IFERROR(__xludf.DUMMYFUNCTION("GOOGLETRANSLATE(E855,""ar"",""en"")"),"Sultan Bin Mohammed Bin Khalifa Foundation")</f>
        <v>Sultan Bin Mohammed Bin Khalifa Foundation</v>
      </c>
      <c r="G855" s="22" t="s">
        <v>3585</v>
      </c>
      <c r="H855" s="24" t="s">
        <v>3587</v>
      </c>
      <c r="I855" s="23" t="s">
        <v>3616</v>
      </c>
      <c r="J855" s="5" t="str">
        <f ca="1">IFERROR(__xludf.DUMMYFUNCTION("GOOGLETRANSLATE(G855,""ar"",""en"")"),"Al-Nabiyah neighborhood")</f>
        <v>Al-Nabiyah neighborhood</v>
      </c>
      <c r="K855" s="5">
        <v>536992075</v>
      </c>
      <c r="L855" s="5"/>
      <c r="M855" s="5" t="str">
        <f ca="1">IFERROR(__xludf.DUMMYFUNCTION("GOOGLETRANSLATE(J855,""ar"",""en"")"),"#VALUE!")</f>
        <v>#VALUE!</v>
      </c>
      <c r="N855" s="6" t="s">
        <v>3574</v>
      </c>
      <c r="O855" s="10" t="s">
        <v>3575</v>
      </c>
    </row>
    <row r="856" spans="1:15" ht="20.100000000000001" customHeight="1" thickTop="1" thickBot="1">
      <c r="A856" s="1"/>
      <c r="B856" s="22">
        <v>855</v>
      </c>
      <c r="C856" s="22" t="s">
        <v>3576</v>
      </c>
      <c r="D856" s="22" t="s">
        <v>13</v>
      </c>
      <c r="E856" s="23" t="s">
        <v>3577</v>
      </c>
      <c r="F856" s="22" t="str">
        <f ca="1">IFERROR(__xludf.DUMMYFUNCTION("GOOGLETRANSLATE(E856,""ar"",""en"")"),"Anwar Al Badia Supplies")</f>
        <v>Anwar Al Badia Supplies</v>
      </c>
      <c r="G856" s="22" t="s">
        <v>3585</v>
      </c>
      <c r="H856" s="24" t="s">
        <v>3587</v>
      </c>
      <c r="I856" s="23" t="s">
        <v>3616</v>
      </c>
      <c r="J856" s="5" t="str">
        <f ca="1">IFERROR(__xludf.DUMMYFUNCTION("GOOGLETRANSLATE(G856,""ar"",""en"")"),"Al-Nabiyah neighborhood")</f>
        <v>Al-Nabiyah neighborhood</v>
      </c>
      <c r="K856" s="11">
        <v>546897958</v>
      </c>
      <c r="L856" s="11"/>
      <c r="M856" s="5" t="str">
        <f ca="1">IFERROR(__xludf.DUMMYFUNCTION("GOOGLETRANSLATE(J856,""ar"",""en"")"),"#VALUE!")</f>
        <v>#VALUE!</v>
      </c>
      <c r="N856" s="12" t="s">
        <v>3578</v>
      </c>
      <c r="O856" s="10" t="s">
        <v>3579</v>
      </c>
    </row>
    <row r="857" spans="1:15" thickTop="1" thickBot="1">
      <c r="A857" s="1"/>
      <c r="B857" s="1"/>
      <c r="C857" s="1"/>
      <c r="D857" s="1"/>
      <c r="E857" s="17"/>
      <c r="F857" s="17"/>
      <c r="G857" s="17"/>
      <c r="H857" s="25"/>
      <c r="I857" s="17"/>
      <c r="J857" s="17"/>
      <c r="K857" s="17"/>
      <c r="L857" s="17"/>
      <c r="M857" s="17"/>
      <c r="N857" s="18"/>
      <c r="O857" s="19"/>
    </row>
    <row r="858" spans="1:15" ht="15" thickBot="1">
      <c r="A858" s="1"/>
      <c r="B858" s="1"/>
      <c r="C858" s="1"/>
      <c r="D858" s="1"/>
      <c r="E858" s="17"/>
      <c r="F858" s="17"/>
      <c r="G858" s="17"/>
      <c r="H858" s="25"/>
      <c r="I858" s="17"/>
      <c r="J858" s="17"/>
      <c r="K858" s="17"/>
      <c r="L858" s="17"/>
      <c r="M858" s="17"/>
      <c r="N858" s="18"/>
      <c r="O858" s="19"/>
    </row>
    <row r="859" spans="1:15" ht="15" thickBot="1">
      <c r="A859" s="1"/>
      <c r="B859" s="1"/>
      <c r="C859" s="1"/>
      <c r="D859" s="1"/>
      <c r="E859" s="17"/>
      <c r="F859" s="17"/>
      <c r="G859" s="17"/>
      <c r="H859" s="25"/>
      <c r="I859" s="17"/>
      <c r="J859" s="17"/>
      <c r="K859" s="17"/>
      <c r="L859" s="17"/>
      <c r="M859" s="17"/>
      <c r="N859" s="18"/>
      <c r="O859" s="19"/>
    </row>
    <row r="860" spans="1:15" ht="15" thickBot="1">
      <c r="A860" s="1"/>
      <c r="B860" s="1"/>
      <c r="C860" s="1"/>
      <c r="D860" s="1"/>
      <c r="E860" s="17"/>
      <c r="F860" s="17"/>
      <c r="G860" s="17"/>
      <c r="H860" s="25"/>
      <c r="I860" s="17"/>
      <c r="J860" s="17"/>
      <c r="K860" s="17"/>
      <c r="L860" s="17"/>
      <c r="M860" s="17"/>
      <c r="N860" s="18"/>
      <c r="O860" s="19"/>
    </row>
    <row r="861" spans="1:15" ht="24" thickBot="1">
      <c r="A861" s="1"/>
      <c r="B861" s="1"/>
      <c r="C861" s="1"/>
      <c r="D861" s="1"/>
      <c r="E861" s="17"/>
      <c r="F861" s="17"/>
      <c r="G861" s="17"/>
      <c r="H861" s="25"/>
      <c r="I861" s="17"/>
      <c r="J861" s="17"/>
      <c r="K861" s="17"/>
      <c r="L861" s="17"/>
      <c r="M861" s="17"/>
      <c r="N861" s="20"/>
      <c r="O861" s="19"/>
    </row>
    <row r="862" spans="1:15" ht="15.75" customHeight="1" thickBot="1">
      <c r="H862" s="25"/>
    </row>
    <row r="863" spans="1:15" ht="15.75" customHeight="1" thickBot="1">
      <c r="H863" s="25"/>
    </row>
    <row r="864" spans="1:15" ht="15.75" customHeight="1" thickBot="1">
      <c r="H864" s="25"/>
    </row>
    <row r="865" spans="8:8" ht="15.75" customHeight="1" thickBot="1">
      <c r="H865" s="25"/>
    </row>
    <row r="866" spans="8:8" ht="15.75" customHeight="1" thickBot="1">
      <c r="H866" s="25"/>
    </row>
    <row r="867" spans="8:8" ht="15.75" customHeight="1" thickBot="1">
      <c r="H867" s="25"/>
    </row>
    <row r="868" spans="8:8" ht="15.75" customHeight="1" thickBot="1">
      <c r="H868" s="25"/>
    </row>
    <row r="869" spans="8:8" ht="15.75" customHeight="1" thickBot="1">
      <c r="H869" s="25"/>
    </row>
    <row r="870" spans="8:8" ht="15.75" customHeight="1" thickBot="1">
      <c r="H870" s="25"/>
    </row>
    <row r="871" spans="8:8" ht="15.75" customHeight="1" thickBot="1">
      <c r="H871" s="25"/>
    </row>
    <row r="872" spans="8:8" ht="15.75" customHeight="1" thickBot="1">
      <c r="H872" s="25"/>
    </row>
    <row r="873" spans="8:8" ht="15.75" customHeight="1" thickBot="1">
      <c r="H873" s="25"/>
    </row>
    <row r="874" spans="8:8" ht="15.75" customHeight="1" thickBot="1">
      <c r="H874" s="25"/>
    </row>
    <row r="875" spans="8:8" ht="15.75" customHeight="1" thickBot="1">
      <c r="H875" s="25"/>
    </row>
    <row r="876" spans="8:8" ht="15.75" customHeight="1" thickBot="1">
      <c r="H876" s="25"/>
    </row>
    <row r="877" spans="8:8" ht="15.75" customHeight="1" thickBot="1">
      <c r="H877" s="25"/>
    </row>
    <row r="878" spans="8:8" ht="15.75" customHeight="1" thickBot="1">
      <c r="H878" s="25"/>
    </row>
    <row r="879" spans="8:8" ht="15.75" customHeight="1" thickBot="1">
      <c r="H879" s="25"/>
    </row>
    <row r="880" spans="8:8" ht="15.75" customHeight="1" thickBot="1">
      <c r="H880" s="25"/>
    </row>
    <row r="881" spans="8:8" ht="15.75" customHeight="1" thickBot="1">
      <c r="H881" s="25"/>
    </row>
    <row r="882" spans="8:8" ht="15.75" customHeight="1" thickBot="1">
      <c r="H882" s="25"/>
    </row>
    <row r="883" spans="8:8" ht="15.75" customHeight="1" thickBot="1">
      <c r="H883" s="25"/>
    </row>
    <row r="884" spans="8:8" ht="15.75" customHeight="1" thickBot="1">
      <c r="H884" s="25"/>
    </row>
    <row r="885" spans="8:8" ht="15.75" customHeight="1" thickBot="1">
      <c r="H885" s="25"/>
    </row>
    <row r="886" spans="8:8" ht="15.75" customHeight="1" thickBot="1">
      <c r="H886" s="25"/>
    </row>
    <row r="887" spans="8:8" ht="15.75" customHeight="1" thickBot="1">
      <c r="H887" s="25"/>
    </row>
    <row r="888" spans="8:8" ht="15.75" customHeight="1" thickBot="1">
      <c r="H888" s="25"/>
    </row>
    <row r="889" spans="8:8" ht="15.75" customHeight="1" thickBot="1">
      <c r="H889" s="25"/>
    </row>
    <row r="890" spans="8:8" ht="15.75" customHeight="1" thickBot="1">
      <c r="H890" s="25"/>
    </row>
    <row r="891" spans="8:8" ht="15.75" customHeight="1" thickBot="1">
      <c r="H891" s="25"/>
    </row>
    <row r="892" spans="8:8" ht="15.75" customHeight="1" thickBot="1">
      <c r="H892" s="25"/>
    </row>
    <row r="893" spans="8:8" ht="15.75" customHeight="1" thickBot="1">
      <c r="H893" s="25"/>
    </row>
    <row r="894" spans="8:8" ht="15.75" customHeight="1" thickBot="1">
      <c r="H894" s="25"/>
    </row>
    <row r="895" spans="8:8" ht="15.75" customHeight="1" thickBot="1">
      <c r="H895" s="25"/>
    </row>
    <row r="896" spans="8:8" ht="15.75" customHeight="1" thickBot="1">
      <c r="H896" s="25"/>
    </row>
    <row r="897" spans="8:8" ht="15.75" customHeight="1" thickBot="1">
      <c r="H897" s="25"/>
    </row>
    <row r="898" spans="8:8" ht="15.75" customHeight="1" thickBot="1">
      <c r="H898" s="25"/>
    </row>
    <row r="899" spans="8:8" ht="15.75" customHeight="1" thickBot="1">
      <c r="H899" s="25"/>
    </row>
    <row r="900" spans="8:8" ht="15.75" customHeight="1" thickBot="1">
      <c r="H900" s="25"/>
    </row>
    <row r="901" spans="8:8" ht="15.75" customHeight="1" thickBot="1">
      <c r="H901" s="25"/>
    </row>
    <row r="902" spans="8:8" ht="15.75" customHeight="1" thickBot="1">
      <c r="H902" s="25"/>
    </row>
    <row r="903" spans="8:8" ht="15.75" customHeight="1" thickBot="1">
      <c r="H903" s="25"/>
    </row>
    <row r="904" spans="8:8" ht="15.75" customHeight="1" thickBot="1">
      <c r="H904" s="25"/>
    </row>
    <row r="905" spans="8:8" ht="15.75" customHeight="1" thickBot="1">
      <c r="H905" s="25"/>
    </row>
    <row r="906" spans="8:8" ht="15.75" customHeight="1" thickBot="1">
      <c r="H906" s="25"/>
    </row>
    <row r="907" spans="8:8" ht="15.75" customHeight="1" thickBot="1">
      <c r="H907" s="25"/>
    </row>
    <row r="908" spans="8:8" ht="15.75" customHeight="1" thickBot="1">
      <c r="H908" s="25"/>
    </row>
    <row r="909" spans="8:8" ht="15.75" customHeight="1" thickBot="1">
      <c r="H909" s="25"/>
    </row>
    <row r="910" spans="8:8" ht="15.75" customHeight="1" thickBot="1">
      <c r="H910" s="25"/>
    </row>
    <row r="911" spans="8:8" ht="15.75" customHeight="1" thickBot="1">
      <c r="H911" s="25"/>
    </row>
    <row r="912" spans="8:8" ht="15.75" customHeight="1" thickBot="1">
      <c r="H912" s="25"/>
    </row>
    <row r="913" spans="8:8" ht="15.75" customHeight="1" thickBot="1">
      <c r="H913" s="25"/>
    </row>
    <row r="914" spans="8:8" ht="15.75" customHeight="1" thickBot="1">
      <c r="H914" s="25"/>
    </row>
    <row r="915" spans="8:8" ht="15.75" customHeight="1" thickBot="1">
      <c r="H915" s="25"/>
    </row>
    <row r="916" spans="8:8" ht="15.75" customHeight="1" thickBot="1">
      <c r="H916" s="25"/>
    </row>
    <row r="917" spans="8:8" ht="15.75" customHeight="1" thickBot="1">
      <c r="H917" s="25"/>
    </row>
    <row r="918" spans="8:8" ht="15.75" customHeight="1" thickBot="1">
      <c r="H918" s="25"/>
    </row>
    <row r="919" spans="8:8" ht="15.75" customHeight="1" thickBot="1">
      <c r="H919" s="25"/>
    </row>
    <row r="920" spans="8:8" ht="15.75" customHeight="1" thickBot="1">
      <c r="H920" s="25"/>
    </row>
    <row r="921" spans="8:8" ht="15.75" customHeight="1" thickBot="1">
      <c r="H921" s="25"/>
    </row>
    <row r="922" spans="8:8" ht="15.75" customHeight="1" thickBot="1">
      <c r="H922" s="25"/>
    </row>
    <row r="923" spans="8:8" ht="15.75" customHeight="1" thickBot="1">
      <c r="H923" s="25"/>
    </row>
    <row r="924" spans="8:8" ht="15.75" customHeight="1" thickBot="1">
      <c r="H924" s="25"/>
    </row>
    <row r="925" spans="8:8" ht="15.75" customHeight="1" thickBot="1">
      <c r="H925" s="25"/>
    </row>
    <row r="926" spans="8:8" ht="15.75" customHeight="1" thickBot="1">
      <c r="H926" s="25"/>
    </row>
    <row r="927" spans="8:8" ht="15.75" customHeight="1" thickBot="1">
      <c r="H927" s="25"/>
    </row>
    <row r="928" spans="8:8" ht="15.75" customHeight="1" thickBot="1">
      <c r="H928" s="25"/>
    </row>
    <row r="929" spans="8:8" ht="15.75" customHeight="1" thickBot="1">
      <c r="H929" s="25"/>
    </row>
    <row r="930" spans="8:8" ht="15.75" customHeight="1" thickBot="1">
      <c r="H930" s="25"/>
    </row>
    <row r="931" spans="8:8" ht="15.75" customHeight="1" thickBot="1">
      <c r="H931" s="25"/>
    </row>
    <row r="932" spans="8:8" ht="15.75" customHeight="1" thickBot="1">
      <c r="H932" s="25"/>
    </row>
    <row r="933" spans="8:8" ht="15.75" customHeight="1" thickBot="1">
      <c r="H933" s="25"/>
    </row>
    <row r="934" spans="8:8" ht="15.75" customHeight="1" thickBot="1">
      <c r="H934" s="25"/>
    </row>
    <row r="935" spans="8:8" ht="15.75" customHeight="1" thickBot="1">
      <c r="H935" s="25"/>
    </row>
    <row r="936" spans="8:8" ht="15.75" customHeight="1" thickBot="1">
      <c r="H936" s="25"/>
    </row>
    <row r="937" spans="8:8" ht="15.75" customHeight="1" thickBot="1">
      <c r="H937" s="25"/>
    </row>
    <row r="938" spans="8:8" ht="15.75" customHeight="1" thickBot="1">
      <c r="H938" s="25"/>
    </row>
    <row r="939" spans="8:8" ht="15.75" customHeight="1" thickBot="1">
      <c r="H939" s="25"/>
    </row>
    <row r="940" spans="8:8" ht="15.75" customHeight="1" thickBot="1">
      <c r="H940" s="25"/>
    </row>
    <row r="941" spans="8:8" ht="15.75" customHeight="1" thickBot="1">
      <c r="H941" s="25"/>
    </row>
    <row r="942" spans="8:8" ht="15.75" customHeight="1" thickBot="1">
      <c r="H942" s="25"/>
    </row>
    <row r="943" spans="8:8" ht="15.75" customHeight="1" thickBot="1">
      <c r="H943" s="25"/>
    </row>
    <row r="944" spans="8:8" ht="15.75" customHeight="1" thickBot="1">
      <c r="H944" s="25"/>
    </row>
    <row r="945" spans="8:8" ht="15.75" customHeight="1" thickBot="1">
      <c r="H945" s="25"/>
    </row>
    <row r="946" spans="8:8" ht="15.75" customHeight="1" thickBot="1">
      <c r="H946" s="25"/>
    </row>
    <row r="947" spans="8:8" ht="15.75" customHeight="1" thickBot="1">
      <c r="H947" s="25"/>
    </row>
    <row r="948" spans="8:8" ht="15.75" customHeight="1" thickBot="1">
      <c r="H948" s="25"/>
    </row>
    <row r="949" spans="8:8" ht="15.75" customHeight="1" thickBot="1">
      <c r="H949" s="25"/>
    </row>
    <row r="950" spans="8:8" ht="15.75" customHeight="1" thickBot="1">
      <c r="H950" s="25"/>
    </row>
    <row r="951" spans="8:8" ht="15.75" customHeight="1" thickBot="1">
      <c r="H951" s="25"/>
    </row>
    <row r="952" spans="8:8" ht="15.75" customHeight="1" thickBot="1">
      <c r="H952" s="25"/>
    </row>
    <row r="953" spans="8:8" ht="15.75" customHeight="1" thickBot="1">
      <c r="H953" s="25"/>
    </row>
    <row r="954" spans="8:8" ht="15.75" customHeight="1" thickBot="1">
      <c r="H954" s="25"/>
    </row>
    <row r="955" spans="8:8" ht="15.75" customHeight="1" thickBot="1">
      <c r="H955" s="25"/>
    </row>
    <row r="956" spans="8:8" ht="15.75" customHeight="1" thickBot="1">
      <c r="H956" s="25"/>
    </row>
    <row r="957" spans="8:8" ht="15.75" customHeight="1" thickBot="1">
      <c r="H957" s="25"/>
    </row>
    <row r="958" spans="8:8" ht="15.75" customHeight="1" thickBot="1">
      <c r="H958" s="25"/>
    </row>
    <row r="959" spans="8:8" ht="15.75" customHeight="1" thickBot="1">
      <c r="H959" s="25"/>
    </row>
    <row r="960" spans="8:8" ht="15.75" customHeight="1" thickBot="1">
      <c r="H960" s="25"/>
    </row>
    <row r="961" spans="8:8" ht="15.75" customHeight="1" thickBot="1">
      <c r="H961" s="25"/>
    </row>
    <row r="962" spans="8:8" ht="15.75" customHeight="1" thickBot="1">
      <c r="H962" s="25"/>
    </row>
    <row r="963" spans="8:8" ht="15.75" customHeight="1" thickBot="1">
      <c r="H963" s="25"/>
    </row>
    <row r="964" spans="8:8" ht="15.75" customHeight="1" thickBot="1">
      <c r="H964" s="25"/>
    </row>
    <row r="965" spans="8:8" ht="15.75" customHeight="1" thickBot="1">
      <c r="H965" s="25"/>
    </row>
    <row r="966" spans="8:8" ht="15.75" customHeight="1" thickBot="1">
      <c r="H966" s="25"/>
    </row>
    <row r="967" spans="8:8" ht="15.75" customHeight="1" thickBot="1">
      <c r="H967" s="25"/>
    </row>
    <row r="968" spans="8:8" ht="15.75" customHeight="1" thickBot="1">
      <c r="H968" s="25"/>
    </row>
    <row r="969" spans="8:8" ht="15.75" customHeight="1" thickBot="1">
      <c r="H969" s="25"/>
    </row>
    <row r="970" spans="8:8" ht="15.75" customHeight="1" thickBot="1">
      <c r="H970" s="25"/>
    </row>
    <row r="971" spans="8:8" ht="15.75" customHeight="1" thickBot="1">
      <c r="H971" s="25"/>
    </row>
    <row r="972" spans="8:8" ht="15.75" customHeight="1" thickBot="1">
      <c r="H972" s="25"/>
    </row>
    <row r="973" spans="8:8" ht="15.75" customHeight="1" thickBot="1">
      <c r="H973" s="25"/>
    </row>
    <row r="974" spans="8:8" ht="15.75" customHeight="1" thickBot="1">
      <c r="H974" s="25"/>
    </row>
    <row r="975" spans="8:8" ht="15.75" customHeight="1" thickBot="1">
      <c r="H975" s="25"/>
    </row>
    <row r="976" spans="8:8" ht="15.75" customHeight="1" thickBot="1">
      <c r="H976" s="25"/>
    </row>
    <row r="977" spans="8:8" ht="15.75" customHeight="1" thickBot="1">
      <c r="H977" s="25"/>
    </row>
    <row r="978" spans="8:8" ht="15.75" customHeight="1" thickBot="1">
      <c r="H978" s="25"/>
    </row>
    <row r="979" spans="8:8" ht="15.75" customHeight="1" thickBot="1">
      <c r="H979" s="25"/>
    </row>
    <row r="980" spans="8:8" ht="15.75" customHeight="1" thickBot="1">
      <c r="H980" s="25"/>
    </row>
    <row r="981" spans="8:8" ht="15.75" customHeight="1" thickBot="1">
      <c r="H981" s="25"/>
    </row>
    <row r="982" spans="8:8" ht="15.75" customHeight="1" thickBot="1">
      <c r="H982" s="25"/>
    </row>
    <row r="983" spans="8:8" ht="15.75" customHeight="1" thickBot="1">
      <c r="H983" s="25"/>
    </row>
    <row r="984" spans="8:8" ht="15.75" customHeight="1" thickBot="1">
      <c r="H984" s="25"/>
    </row>
    <row r="985" spans="8:8" ht="15.75" customHeight="1" thickBot="1">
      <c r="H985" s="25"/>
    </row>
    <row r="986" spans="8:8" ht="15.75" customHeight="1" thickBot="1">
      <c r="H986" s="25"/>
    </row>
    <row r="987" spans="8:8" ht="15.75" customHeight="1" thickBot="1">
      <c r="H987" s="25"/>
    </row>
    <row r="988" spans="8:8" ht="15.75" customHeight="1" thickBot="1">
      <c r="H988" s="25"/>
    </row>
    <row r="989" spans="8:8" ht="15.75" customHeight="1" thickBot="1">
      <c r="H989" s="25"/>
    </row>
    <row r="990" spans="8:8" ht="15.75" customHeight="1" thickBot="1">
      <c r="H990" s="25"/>
    </row>
    <row r="991" spans="8:8" ht="15.75" customHeight="1" thickBot="1">
      <c r="H991" s="25"/>
    </row>
    <row r="992" spans="8:8" ht="15.75" customHeight="1" thickBot="1">
      <c r="H992" s="25"/>
    </row>
    <row r="993" spans="8:9" ht="15.75" customHeight="1" thickBot="1">
      <c r="H993" s="25"/>
    </row>
    <row r="994" spans="8:9" ht="15.75" customHeight="1" thickBot="1">
      <c r="H994" s="25"/>
    </row>
    <row r="995" spans="8:9" ht="15.75" customHeight="1" thickBot="1">
      <c r="H995" s="25"/>
    </row>
    <row r="996" spans="8:9" ht="15.75" customHeight="1" thickBot="1">
      <c r="H996" s="25"/>
    </row>
    <row r="997" spans="8:9" ht="15.75" customHeight="1" thickBot="1">
      <c r="H997" s="25"/>
    </row>
    <row r="998" spans="8:9" ht="15.75" customHeight="1" thickBot="1">
      <c r="H998" s="25"/>
    </row>
    <row r="999" spans="8:9" ht="15.75" customHeight="1" thickBot="1">
      <c r="H999" s="25"/>
    </row>
    <row r="1000" spans="8:9" ht="15.75" customHeight="1" thickBot="1">
      <c r="H1000" s="25"/>
    </row>
    <row r="1001" spans="8:9" ht="15.75" customHeight="1" thickTop="1" thickBot="1">
      <c r="I1001" s="23"/>
    </row>
    <row r="1002" spans="8:9" ht="15.75" customHeight="1" thickTop="1"/>
  </sheetData>
  <autoFilter ref="B1:O856" xr:uid="{00000000-0001-0000-0000-000000000000}"/>
  <hyperlinks>
    <hyperlink ref="O2" r:id="rId1" xr:uid="{00000000-0004-0000-0000-000000000000}"/>
    <hyperlink ref="O3" r:id="rId2" xr:uid="{00000000-0004-0000-0000-000001000000}"/>
    <hyperlink ref="O4" r:id="rId3" xr:uid="{00000000-0004-0000-0000-000002000000}"/>
    <hyperlink ref="O5" r:id="rId4" xr:uid="{00000000-0004-0000-0000-000003000000}"/>
    <hyperlink ref="O6" r:id="rId5" xr:uid="{00000000-0004-0000-0000-000004000000}"/>
    <hyperlink ref="O7" r:id="rId6" xr:uid="{00000000-0004-0000-0000-000005000000}"/>
    <hyperlink ref="O8" r:id="rId7" xr:uid="{00000000-0004-0000-0000-000006000000}"/>
    <hyperlink ref="O9" r:id="rId8" xr:uid="{00000000-0004-0000-0000-000007000000}"/>
    <hyperlink ref="O10" r:id="rId9" xr:uid="{00000000-0004-0000-0000-000008000000}"/>
    <hyperlink ref="O11" r:id="rId10" xr:uid="{00000000-0004-0000-0000-000009000000}"/>
    <hyperlink ref="O12" r:id="rId11" xr:uid="{00000000-0004-0000-0000-00000A000000}"/>
    <hyperlink ref="O13" r:id="rId12" xr:uid="{00000000-0004-0000-0000-00000B000000}"/>
    <hyperlink ref="O14" r:id="rId13" xr:uid="{00000000-0004-0000-0000-00000C000000}"/>
    <hyperlink ref="O15" r:id="rId14" xr:uid="{00000000-0004-0000-0000-00000D000000}"/>
    <hyperlink ref="O16" r:id="rId15" xr:uid="{00000000-0004-0000-0000-00000E000000}"/>
    <hyperlink ref="O17" r:id="rId16" xr:uid="{00000000-0004-0000-0000-00000F000000}"/>
    <hyperlink ref="O18" r:id="rId17" xr:uid="{00000000-0004-0000-0000-000010000000}"/>
    <hyperlink ref="O19" r:id="rId18" xr:uid="{00000000-0004-0000-0000-000011000000}"/>
    <hyperlink ref="O20" r:id="rId19" xr:uid="{00000000-0004-0000-0000-000012000000}"/>
    <hyperlink ref="O21" r:id="rId20" xr:uid="{00000000-0004-0000-0000-000013000000}"/>
    <hyperlink ref="O22" r:id="rId21" xr:uid="{00000000-0004-0000-0000-000014000000}"/>
    <hyperlink ref="O23" r:id="rId22" xr:uid="{00000000-0004-0000-0000-000015000000}"/>
    <hyperlink ref="O24" r:id="rId23" xr:uid="{00000000-0004-0000-0000-000016000000}"/>
    <hyperlink ref="O25" r:id="rId24" xr:uid="{00000000-0004-0000-0000-000017000000}"/>
    <hyperlink ref="O26" r:id="rId25" xr:uid="{00000000-0004-0000-0000-000018000000}"/>
    <hyperlink ref="O27" r:id="rId26" xr:uid="{00000000-0004-0000-0000-000019000000}"/>
    <hyperlink ref="O28" r:id="rId27" xr:uid="{00000000-0004-0000-0000-00001A000000}"/>
    <hyperlink ref="O29" r:id="rId28" xr:uid="{00000000-0004-0000-0000-00001B000000}"/>
    <hyperlink ref="O30" r:id="rId29" xr:uid="{00000000-0004-0000-0000-00001C000000}"/>
    <hyperlink ref="O31" r:id="rId30" xr:uid="{00000000-0004-0000-0000-00001D000000}"/>
    <hyperlink ref="O32" r:id="rId31" xr:uid="{00000000-0004-0000-0000-00001E000000}"/>
    <hyperlink ref="O33" r:id="rId32" xr:uid="{00000000-0004-0000-0000-00001F000000}"/>
    <hyperlink ref="O34" r:id="rId33" xr:uid="{00000000-0004-0000-0000-000020000000}"/>
    <hyperlink ref="O35" r:id="rId34" xr:uid="{00000000-0004-0000-0000-000021000000}"/>
    <hyperlink ref="O36" r:id="rId35" xr:uid="{00000000-0004-0000-0000-000022000000}"/>
    <hyperlink ref="O37" r:id="rId36" xr:uid="{00000000-0004-0000-0000-000023000000}"/>
    <hyperlink ref="O38" r:id="rId37" xr:uid="{00000000-0004-0000-0000-000024000000}"/>
    <hyperlink ref="O39" r:id="rId38" xr:uid="{00000000-0004-0000-0000-000025000000}"/>
    <hyperlink ref="O40" r:id="rId39" xr:uid="{00000000-0004-0000-0000-000026000000}"/>
    <hyperlink ref="O41" r:id="rId40" xr:uid="{00000000-0004-0000-0000-000027000000}"/>
    <hyperlink ref="O42" r:id="rId41" xr:uid="{00000000-0004-0000-0000-000028000000}"/>
    <hyperlink ref="O43" r:id="rId42" xr:uid="{00000000-0004-0000-0000-000029000000}"/>
    <hyperlink ref="O44" r:id="rId43" xr:uid="{00000000-0004-0000-0000-00002A000000}"/>
    <hyperlink ref="O45" r:id="rId44" xr:uid="{00000000-0004-0000-0000-00002B000000}"/>
    <hyperlink ref="O46" r:id="rId45" xr:uid="{00000000-0004-0000-0000-00002C000000}"/>
    <hyperlink ref="O47" r:id="rId46" xr:uid="{00000000-0004-0000-0000-00002D000000}"/>
    <hyperlink ref="O48" r:id="rId47" xr:uid="{00000000-0004-0000-0000-00002E000000}"/>
    <hyperlink ref="O49" r:id="rId48" xr:uid="{00000000-0004-0000-0000-00002F000000}"/>
    <hyperlink ref="O50" r:id="rId49" xr:uid="{00000000-0004-0000-0000-000030000000}"/>
    <hyperlink ref="O51" r:id="rId50" xr:uid="{00000000-0004-0000-0000-000031000000}"/>
    <hyperlink ref="O52" r:id="rId51" xr:uid="{00000000-0004-0000-0000-000032000000}"/>
    <hyperlink ref="O53" r:id="rId52" xr:uid="{00000000-0004-0000-0000-000033000000}"/>
    <hyperlink ref="O54" r:id="rId53" xr:uid="{00000000-0004-0000-0000-000034000000}"/>
    <hyperlink ref="O55" r:id="rId54" xr:uid="{00000000-0004-0000-0000-000035000000}"/>
    <hyperlink ref="O56" r:id="rId55" xr:uid="{00000000-0004-0000-0000-000036000000}"/>
    <hyperlink ref="O57" r:id="rId56" xr:uid="{00000000-0004-0000-0000-000037000000}"/>
    <hyperlink ref="O58" r:id="rId57" xr:uid="{00000000-0004-0000-0000-000038000000}"/>
    <hyperlink ref="O60" r:id="rId58" xr:uid="{00000000-0004-0000-0000-000039000000}"/>
    <hyperlink ref="O61" r:id="rId59" xr:uid="{00000000-0004-0000-0000-00003A000000}"/>
    <hyperlink ref="O62" r:id="rId60" xr:uid="{00000000-0004-0000-0000-00003B000000}"/>
    <hyperlink ref="O63" r:id="rId61" xr:uid="{00000000-0004-0000-0000-00003C000000}"/>
    <hyperlink ref="O64" r:id="rId62" xr:uid="{00000000-0004-0000-0000-00003D000000}"/>
    <hyperlink ref="O65" r:id="rId63" xr:uid="{00000000-0004-0000-0000-00003E000000}"/>
    <hyperlink ref="O66" r:id="rId64" xr:uid="{00000000-0004-0000-0000-00003F000000}"/>
    <hyperlink ref="O67" r:id="rId65" xr:uid="{00000000-0004-0000-0000-000040000000}"/>
    <hyperlink ref="O68" r:id="rId66" xr:uid="{00000000-0004-0000-0000-000041000000}"/>
    <hyperlink ref="O69" r:id="rId67" xr:uid="{00000000-0004-0000-0000-000042000000}"/>
    <hyperlink ref="O70" r:id="rId68" xr:uid="{00000000-0004-0000-0000-000043000000}"/>
    <hyperlink ref="O71" r:id="rId69" xr:uid="{00000000-0004-0000-0000-000044000000}"/>
    <hyperlink ref="O72" r:id="rId70" xr:uid="{00000000-0004-0000-0000-000045000000}"/>
    <hyperlink ref="O73" r:id="rId71" xr:uid="{00000000-0004-0000-0000-000046000000}"/>
    <hyperlink ref="O74" r:id="rId72" xr:uid="{00000000-0004-0000-0000-000047000000}"/>
    <hyperlink ref="O75" r:id="rId73" xr:uid="{00000000-0004-0000-0000-000048000000}"/>
    <hyperlink ref="O76" r:id="rId74" xr:uid="{00000000-0004-0000-0000-000049000000}"/>
    <hyperlink ref="O77" r:id="rId75" xr:uid="{00000000-0004-0000-0000-00004A000000}"/>
    <hyperlink ref="O78" r:id="rId76" xr:uid="{00000000-0004-0000-0000-00004B000000}"/>
    <hyperlink ref="O79" r:id="rId77" xr:uid="{00000000-0004-0000-0000-00004C000000}"/>
    <hyperlink ref="O80" r:id="rId78" xr:uid="{00000000-0004-0000-0000-00004D000000}"/>
    <hyperlink ref="O81" r:id="rId79" xr:uid="{00000000-0004-0000-0000-00004E000000}"/>
    <hyperlink ref="O82" r:id="rId80" xr:uid="{00000000-0004-0000-0000-00004F000000}"/>
    <hyperlink ref="O83" r:id="rId81" xr:uid="{00000000-0004-0000-0000-000050000000}"/>
    <hyperlink ref="O84" r:id="rId82" xr:uid="{00000000-0004-0000-0000-000051000000}"/>
    <hyperlink ref="O85" r:id="rId83" xr:uid="{00000000-0004-0000-0000-000052000000}"/>
    <hyperlink ref="O86" r:id="rId84" xr:uid="{00000000-0004-0000-0000-000053000000}"/>
    <hyperlink ref="O87" r:id="rId85" xr:uid="{00000000-0004-0000-0000-000054000000}"/>
    <hyperlink ref="O88" r:id="rId86" xr:uid="{00000000-0004-0000-0000-000055000000}"/>
    <hyperlink ref="O89" r:id="rId87" xr:uid="{00000000-0004-0000-0000-000056000000}"/>
    <hyperlink ref="O90" r:id="rId88" xr:uid="{00000000-0004-0000-0000-000057000000}"/>
    <hyperlink ref="O91" r:id="rId89" xr:uid="{00000000-0004-0000-0000-000058000000}"/>
    <hyperlink ref="O92" r:id="rId90" xr:uid="{00000000-0004-0000-0000-000059000000}"/>
    <hyperlink ref="O93" r:id="rId91" xr:uid="{00000000-0004-0000-0000-00005A000000}"/>
    <hyperlink ref="O94" r:id="rId92" xr:uid="{00000000-0004-0000-0000-00005B000000}"/>
    <hyperlink ref="O95" r:id="rId93" xr:uid="{00000000-0004-0000-0000-00005C000000}"/>
    <hyperlink ref="O96" r:id="rId94" xr:uid="{00000000-0004-0000-0000-00005D000000}"/>
    <hyperlink ref="O97" r:id="rId95" xr:uid="{00000000-0004-0000-0000-00005E000000}"/>
    <hyperlink ref="O98" r:id="rId96" xr:uid="{00000000-0004-0000-0000-00005F000000}"/>
    <hyperlink ref="O99" r:id="rId97" xr:uid="{00000000-0004-0000-0000-000060000000}"/>
    <hyperlink ref="O100" r:id="rId98" xr:uid="{00000000-0004-0000-0000-000061000000}"/>
    <hyperlink ref="O101" r:id="rId99" xr:uid="{00000000-0004-0000-0000-000062000000}"/>
    <hyperlink ref="O102" r:id="rId100" xr:uid="{00000000-0004-0000-0000-000063000000}"/>
    <hyperlink ref="O103" r:id="rId101" xr:uid="{00000000-0004-0000-0000-000064000000}"/>
    <hyperlink ref="O104" r:id="rId102" xr:uid="{00000000-0004-0000-0000-000065000000}"/>
    <hyperlink ref="O106" r:id="rId103" xr:uid="{00000000-0004-0000-0000-000066000000}"/>
    <hyperlink ref="O107" r:id="rId104" xr:uid="{00000000-0004-0000-0000-000067000000}"/>
    <hyperlink ref="O108" r:id="rId105" xr:uid="{00000000-0004-0000-0000-000068000000}"/>
    <hyperlink ref="O109" r:id="rId106" xr:uid="{00000000-0004-0000-0000-000069000000}"/>
    <hyperlink ref="O110" r:id="rId107" xr:uid="{00000000-0004-0000-0000-00006A000000}"/>
    <hyperlink ref="O111" r:id="rId108" xr:uid="{00000000-0004-0000-0000-00006B000000}"/>
    <hyperlink ref="O112" r:id="rId109" xr:uid="{00000000-0004-0000-0000-00006C000000}"/>
    <hyperlink ref="O113" r:id="rId110" xr:uid="{00000000-0004-0000-0000-00006D000000}"/>
    <hyperlink ref="O114" r:id="rId111" xr:uid="{00000000-0004-0000-0000-00006E000000}"/>
    <hyperlink ref="O115" r:id="rId112" xr:uid="{00000000-0004-0000-0000-00006F000000}"/>
    <hyperlink ref="O116" r:id="rId113" xr:uid="{00000000-0004-0000-0000-000070000000}"/>
    <hyperlink ref="O117" r:id="rId114" xr:uid="{00000000-0004-0000-0000-000071000000}"/>
    <hyperlink ref="O118" r:id="rId115" xr:uid="{00000000-0004-0000-0000-000072000000}"/>
    <hyperlink ref="O119" r:id="rId116" xr:uid="{00000000-0004-0000-0000-000073000000}"/>
    <hyperlink ref="O120" r:id="rId117" xr:uid="{00000000-0004-0000-0000-000074000000}"/>
    <hyperlink ref="O121" r:id="rId118" xr:uid="{00000000-0004-0000-0000-000075000000}"/>
    <hyperlink ref="O122" r:id="rId119" xr:uid="{00000000-0004-0000-0000-000076000000}"/>
    <hyperlink ref="O123" r:id="rId120" xr:uid="{00000000-0004-0000-0000-000077000000}"/>
    <hyperlink ref="O124" r:id="rId121" xr:uid="{00000000-0004-0000-0000-000078000000}"/>
    <hyperlink ref="O125" r:id="rId122" xr:uid="{00000000-0004-0000-0000-000079000000}"/>
    <hyperlink ref="O126" r:id="rId123" xr:uid="{00000000-0004-0000-0000-00007A000000}"/>
    <hyperlink ref="O127" r:id="rId124" xr:uid="{00000000-0004-0000-0000-00007B000000}"/>
    <hyperlink ref="O128" r:id="rId125" xr:uid="{00000000-0004-0000-0000-00007C000000}"/>
    <hyperlink ref="O129" r:id="rId126" xr:uid="{00000000-0004-0000-0000-00007D000000}"/>
    <hyperlink ref="O130" r:id="rId127" xr:uid="{00000000-0004-0000-0000-00007E000000}"/>
    <hyperlink ref="O131" r:id="rId128" xr:uid="{00000000-0004-0000-0000-00007F000000}"/>
    <hyperlink ref="O132" r:id="rId129" xr:uid="{00000000-0004-0000-0000-000080000000}"/>
    <hyperlink ref="O133" r:id="rId130" xr:uid="{00000000-0004-0000-0000-000081000000}"/>
    <hyperlink ref="O134" r:id="rId131" xr:uid="{00000000-0004-0000-0000-000082000000}"/>
    <hyperlink ref="O135" r:id="rId132" xr:uid="{00000000-0004-0000-0000-000083000000}"/>
    <hyperlink ref="O136" r:id="rId133" xr:uid="{00000000-0004-0000-0000-000084000000}"/>
    <hyperlink ref="O137" r:id="rId134" xr:uid="{00000000-0004-0000-0000-000085000000}"/>
    <hyperlink ref="O138" r:id="rId135" xr:uid="{00000000-0004-0000-0000-000086000000}"/>
    <hyperlink ref="O139" r:id="rId136" xr:uid="{00000000-0004-0000-0000-000087000000}"/>
    <hyperlink ref="O140" r:id="rId137" xr:uid="{00000000-0004-0000-0000-000088000000}"/>
    <hyperlink ref="O141" r:id="rId138" xr:uid="{00000000-0004-0000-0000-000089000000}"/>
    <hyperlink ref="O142" r:id="rId139" xr:uid="{00000000-0004-0000-0000-00008A000000}"/>
    <hyperlink ref="O143" r:id="rId140" xr:uid="{00000000-0004-0000-0000-00008B000000}"/>
    <hyperlink ref="O144" r:id="rId141" xr:uid="{00000000-0004-0000-0000-00008C000000}"/>
    <hyperlink ref="O145" r:id="rId142" xr:uid="{00000000-0004-0000-0000-00008D000000}"/>
    <hyperlink ref="O146" r:id="rId143" xr:uid="{00000000-0004-0000-0000-00008E000000}"/>
    <hyperlink ref="O147" r:id="rId144" xr:uid="{00000000-0004-0000-0000-00008F000000}"/>
    <hyperlink ref="O148" r:id="rId145" xr:uid="{00000000-0004-0000-0000-000090000000}"/>
    <hyperlink ref="O149" r:id="rId146" xr:uid="{00000000-0004-0000-0000-000091000000}"/>
    <hyperlink ref="O150" r:id="rId147" xr:uid="{00000000-0004-0000-0000-000092000000}"/>
    <hyperlink ref="O151" r:id="rId148" xr:uid="{00000000-0004-0000-0000-000093000000}"/>
    <hyperlink ref="O152" r:id="rId149" xr:uid="{00000000-0004-0000-0000-000094000000}"/>
    <hyperlink ref="O153" r:id="rId150" xr:uid="{00000000-0004-0000-0000-000095000000}"/>
    <hyperlink ref="O154" r:id="rId151" xr:uid="{00000000-0004-0000-0000-000096000000}"/>
    <hyperlink ref="O155" r:id="rId152" xr:uid="{00000000-0004-0000-0000-000097000000}"/>
    <hyperlink ref="O156" r:id="rId153" xr:uid="{00000000-0004-0000-0000-000098000000}"/>
    <hyperlink ref="O157" r:id="rId154" xr:uid="{00000000-0004-0000-0000-000099000000}"/>
    <hyperlink ref="O158" r:id="rId155" xr:uid="{00000000-0004-0000-0000-00009A000000}"/>
    <hyperlink ref="O159" r:id="rId156" xr:uid="{00000000-0004-0000-0000-00009B000000}"/>
    <hyperlink ref="O160" r:id="rId157" xr:uid="{00000000-0004-0000-0000-00009C000000}"/>
    <hyperlink ref="O161" r:id="rId158" xr:uid="{00000000-0004-0000-0000-00009D000000}"/>
    <hyperlink ref="O162" r:id="rId159" xr:uid="{00000000-0004-0000-0000-00009E000000}"/>
    <hyperlink ref="O163" r:id="rId160" xr:uid="{00000000-0004-0000-0000-00009F000000}"/>
    <hyperlink ref="O164" r:id="rId161" xr:uid="{00000000-0004-0000-0000-0000A0000000}"/>
    <hyperlink ref="O165" r:id="rId162" xr:uid="{00000000-0004-0000-0000-0000A1000000}"/>
    <hyperlink ref="O166" r:id="rId163" xr:uid="{00000000-0004-0000-0000-0000A2000000}"/>
    <hyperlink ref="O167" r:id="rId164" xr:uid="{00000000-0004-0000-0000-0000A3000000}"/>
    <hyperlink ref="O168" r:id="rId165" xr:uid="{00000000-0004-0000-0000-0000A4000000}"/>
    <hyperlink ref="O169" r:id="rId166" xr:uid="{00000000-0004-0000-0000-0000A5000000}"/>
    <hyperlink ref="O170" r:id="rId167" xr:uid="{00000000-0004-0000-0000-0000A6000000}"/>
    <hyperlink ref="O171" r:id="rId168" xr:uid="{00000000-0004-0000-0000-0000A7000000}"/>
    <hyperlink ref="O172" r:id="rId169" xr:uid="{00000000-0004-0000-0000-0000A8000000}"/>
    <hyperlink ref="O173" r:id="rId170" xr:uid="{00000000-0004-0000-0000-0000A9000000}"/>
    <hyperlink ref="O174" r:id="rId171" xr:uid="{00000000-0004-0000-0000-0000AA000000}"/>
    <hyperlink ref="O175" r:id="rId172" xr:uid="{00000000-0004-0000-0000-0000AB000000}"/>
    <hyperlink ref="O176" r:id="rId173" xr:uid="{00000000-0004-0000-0000-0000AC000000}"/>
    <hyperlink ref="O177" r:id="rId174" xr:uid="{00000000-0004-0000-0000-0000AD000000}"/>
    <hyperlink ref="O178" r:id="rId175" xr:uid="{00000000-0004-0000-0000-0000AE000000}"/>
    <hyperlink ref="O179" r:id="rId176" xr:uid="{00000000-0004-0000-0000-0000AF000000}"/>
    <hyperlink ref="O180" r:id="rId177" xr:uid="{00000000-0004-0000-0000-0000B0000000}"/>
    <hyperlink ref="O181" r:id="rId178" xr:uid="{00000000-0004-0000-0000-0000B1000000}"/>
    <hyperlink ref="O182" r:id="rId179" xr:uid="{00000000-0004-0000-0000-0000B2000000}"/>
    <hyperlink ref="O183" r:id="rId180" xr:uid="{00000000-0004-0000-0000-0000B3000000}"/>
    <hyperlink ref="O184" r:id="rId181" xr:uid="{00000000-0004-0000-0000-0000B4000000}"/>
    <hyperlink ref="O185" r:id="rId182" xr:uid="{00000000-0004-0000-0000-0000B5000000}"/>
    <hyperlink ref="O186" r:id="rId183" xr:uid="{00000000-0004-0000-0000-0000B6000000}"/>
    <hyperlink ref="O187" r:id="rId184" xr:uid="{00000000-0004-0000-0000-0000B7000000}"/>
    <hyperlink ref="O188" r:id="rId185" xr:uid="{00000000-0004-0000-0000-0000B8000000}"/>
    <hyperlink ref="O189" r:id="rId186" xr:uid="{00000000-0004-0000-0000-0000B9000000}"/>
    <hyperlink ref="O190" r:id="rId187" xr:uid="{00000000-0004-0000-0000-0000BA000000}"/>
    <hyperlink ref="O191" r:id="rId188" xr:uid="{00000000-0004-0000-0000-0000BB000000}"/>
    <hyperlink ref="O192" r:id="rId189" xr:uid="{00000000-0004-0000-0000-0000BC000000}"/>
    <hyperlink ref="O194" r:id="rId190" xr:uid="{00000000-0004-0000-0000-0000BD000000}"/>
    <hyperlink ref="O195" r:id="rId191" xr:uid="{00000000-0004-0000-0000-0000BE000000}"/>
    <hyperlink ref="O196" r:id="rId192" xr:uid="{00000000-0004-0000-0000-0000BF000000}"/>
    <hyperlink ref="O197" r:id="rId193" xr:uid="{00000000-0004-0000-0000-0000C0000000}"/>
    <hyperlink ref="O198" r:id="rId194" xr:uid="{00000000-0004-0000-0000-0000C1000000}"/>
    <hyperlink ref="O199" r:id="rId195" xr:uid="{00000000-0004-0000-0000-0000C2000000}"/>
    <hyperlink ref="O200" r:id="rId196" xr:uid="{00000000-0004-0000-0000-0000C3000000}"/>
    <hyperlink ref="O201" r:id="rId197" xr:uid="{00000000-0004-0000-0000-0000C4000000}"/>
    <hyperlink ref="O202" r:id="rId198" xr:uid="{00000000-0004-0000-0000-0000C5000000}"/>
    <hyperlink ref="O203" r:id="rId199" xr:uid="{00000000-0004-0000-0000-0000C6000000}"/>
    <hyperlink ref="O204" r:id="rId200" xr:uid="{00000000-0004-0000-0000-0000C7000000}"/>
    <hyperlink ref="O205" r:id="rId201" xr:uid="{00000000-0004-0000-0000-0000C8000000}"/>
    <hyperlink ref="O206" r:id="rId202" xr:uid="{00000000-0004-0000-0000-0000C9000000}"/>
    <hyperlink ref="O207" r:id="rId203" xr:uid="{00000000-0004-0000-0000-0000CA000000}"/>
    <hyperlink ref="O208" r:id="rId204" xr:uid="{00000000-0004-0000-0000-0000CB000000}"/>
    <hyperlink ref="O209" r:id="rId205" xr:uid="{00000000-0004-0000-0000-0000CC000000}"/>
    <hyperlink ref="O210" r:id="rId206" xr:uid="{00000000-0004-0000-0000-0000CD000000}"/>
    <hyperlink ref="O211" r:id="rId207" xr:uid="{00000000-0004-0000-0000-0000CE000000}"/>
    <hyperlink ref="O212" r:id="rId208" xr:uid="{00000000-0004-0000-0000-0000CF000000}"/>
    <hyperlink ref="O213" r:id="rId209" xr:uid="{00000000-0004-0000-0000-0000D0000000}"/>
    <hyperlink ref="O214" r:id="rId210" xr:uid="{00000000-0004-0000-0000-0000D1000000}"/>
    <hyperlink ref="O215" r:id="rId211" xr:uid="{00000000-0004-0000-0000-0000D2000000}"/>
    <hyperlink ref="O216" r:id="rId212" xr:uid="{00000000-0004-0000-0000-0000D3000000}"/>
    <hyperlink ref="O217" r:id="rId213" xr:uid="{00000000-0004-0000-0000-0000D4000000}"/>
    <hyperlink ref="O218" r:id="rId214" xr:uid="{00000000-0004-0000-0000-0000D5000000}"/>
    <hyperlink ref="O219" r:id="rId215" xr:uid="{00000000-0004-0000-0000-0000D6000000}"/>
    <hyperlink ref="O220" r:id="rId216" xr:uid="{00000000-0004-0000-0000-0000D7000000}"/>
    <hyperlink ref="O221" r:id="rId217" xr:uid="{00000000-0004-0000-0000-0000D8000000}"/>
    <hyperlink ref="O222" r:id="rId218" xr:uid="{00000000-0004-0000-0000-0000D9000000}"/>
    <hyperlink ref="O223" r:id="rId219" xr:uid="{00000000-0004-0000-0000-0000DA000000}"/>
    <hyperlink ref="O224" r:id="rId220" xr:uid="{00000000-0004-0000-0000-0000DB000000}"/>
    <hyperlink ref="O225" r:id="rId221" xr:uid="{00000000-0004-0000-0000-0000DC000000}"/>
    <hyperlink ref="O226" r:id="rId222" xr:uid="{00000000-0004-0000-0000-0000DD000000}"/>
    <hyperlink ref="O227" r:id="rId223" xr:uid="{00000000-0004-0000-0000-0000DE000000}"/>
    <hyperlink ref="O228" r:id="rId224" xr:uid="{00000000-0004-0000-0000-0000DF000000}"/>
    <hyperlink ref="O229" r:id="rId225" xr:uid="{00000000-0004-0000-0000-0000E0000000}"/>
    <hyperlink ref="O230" r:id="rId226" xr:uid="{00000000-0004-0000-0000-0000E1000000}"/>
    <hyperlink ref="O231" r:id="rId227" xr:uid="{00000000-0004-0000-0000-0000E2000000}"/>
    <hyperlink ref="O232" r:id="rId228" xr:uid="{00000000-0004-0000-0000-0000E3000000}"/>
    <hyperlink ref="O233" r:id="rId229" xr:uid="{00000000-0004-0000-0000-0000E4000000}"/>
    <hyperlink ref="O234" r:id="rId230" xr:uid="{00000000-0004-0000-0000-0000E5000000}"/>
    <hyperlink ref="O235" r:id="rId231" xr:uid="{00000000-0004-0000-0000-0000E6000000}"/>
    <hyperlink ref="O236" r:id="rId232" xr:uid="{00000000-0004-0000-0000-0000E7000000}"/>
    <hyperlink ref="O237" r:id="rId233" xr:uid="{00000000-0004-0000-0000-0000E8000000}"/>
    <hyperlink ref="O238" r:id="rId234" xr:uid="{00000000-0004-0000-0000-0000E9000000}"/>
    <hyperlink ref="O239" r:id="rId235" xr:uid="{00000000-0004-0000-0000-0000EA000000}"/>
    <hyperlink ref="O240" r:id="rId236" xr:uid="{00000000-0004-0000-0000-0000EB000000}"/>
    <hyperlink ref="O241" r:id="rId237" xr:uid="{00000000-0004-0000-0000-0000EC000000}"/>
    <hyperlink ref="O242" r:id="rId238" xr:uid="{00000000-0004-0000-0000-0000ED000000}"/>
    <hyperlink ref="O243" r:id="rId239" xr:uid="{00000000-0004-0000-0000-0000EE000000}"/>
    <hyperlink ref="O244" r:id="rId240" xr:uid="{00000000-0004-0000-0000-0000EF000000}"/>
    <hyperlink ref="O245" r:id="rId241" xr:uid="{00000000-0004-0000-0000-0000F0000000}"/>
    <hyperlink ref="O246" r:id="rId242" xr:uid="{00000000-0004-0000-0000-0000F1000000}"/>
    <hyperlink ref="O247" r:id="rId243" xr:uid="{00000000-0004-0000-0000-0000F2000000}"/>
    <hyperlink ref="O248" r:id="rId244" xr:uid="{00000000-0004-0000-0000-0000F3000000}"/>
    <hyperlink ref="O249" r:id="rId245" xr:uid="{00000000-0004-0000-0000-0000F4000000}"/>
    <hyperlink ref="O250" r:id="rId246" xr:uid="{00000000-0004-0000-0000-0000F5000000}"/>
    <hyperlink ref="O251" r:id="rId247" xr:uid="{00000000-0004-0000-0000-0000F6000000}"/>
    <hyperlink ref="O252" r:id="rId248" xr:uid="{00000000-0004-0000-0000-0000F7000000}"/>
    <hyperlink ref="O253" r:id="rId249" xr:uid="{00000000-0004-0000-0000-0000F8000000}"/>
    <hyperlink ref="O254" r:id="rId250" xr:uid="{00000000-0004-0000-0000-0000F9000000}"/>
    <hyperlink ref="O255" r:id="rId251" xr:uid="{00000000-0004-0000-0000-0000FA000000}"/>
    <hyperlink ref="O256" r:id="rId252" xr:uid="{00000000-0004-0000-0000-0000FB000000}"/>
    <hyperlink ref="O257" r:id="rId253" xr:uid="{00000000-0004-0000-0000-0000FC000000}"/>
    <hyperlink ref="O258" r:id="rId254" xr:uid="{00000000-0004-0000-0000-0000FD000000}"/>
    <hyperlink ref="O259" r:id="rId255" xr:uid="{00000000-0004-0000-0000-0000FE000000}"/>
    <hyperlink ref="O260" r:id="rId256" xr:uid="{00000000-0004-0000-0000-0000FF000000}"/>
    <hyperlink ref="O261" r:id="rId257" xr:uid="{00000000-0004-0000-0000-000000010000}"/>
    <hyperlink ref="O262" r:id="rId258" xr:uid="{00000000-0004-0000-0000-000001010000}"/>
    <hyperlink ref="O263" r:id="rId259" xr:uid="{00000000-0004-0000-0000-000002010000}"/>
    <hyperlink ref="O264" r:id="rId260" xr:uid="{00000000-0004-0000-0000-000003010000}"/>
    <hyperlink ref="O265" r:id="rId261" xr:uid="{00000000-0004-0000-0000-000004010000}"/>
    <hyperlink ref="O266" r:id="rId262" xr:uid="{00000000-0004-0000-0000-000005010000}"/>
    <hyperlink ref="O267" r:id="rId263" xr:uid="{00000000-0004-0000-0000-000006010000}"/>
    <hyperlink ref="O268" r:id="rId264" xr:uid="{00000000-0004-0000-0000-000007010000}"/>
    <hyperlink ref="O269" r:id="rId265" xr:uid="{00000000-0004-0000-0000-000008010000}"/>
    <hyperlink ref="O270" r:id="rId266" xr:uid="{00000000-0004-0000-0000-000009010000}"/>
    <hyperlink ref="O271" r:id="rId267" xr:uid="{00000000-0004-0000-0000-00000A010000}"/>
    <hyperlink ref="O272" r:id="rId268" xr:uid="{00000000-0004-0000-0000-00000B010000}"/>
    <hyperlink ref="O273" r:id="rId269" xr:uid="{00000000-0004-0000-0000-00000C010000}"/>
    <hyperlink ref="O274" r:id="rId270" xr:uid="{00000000-0004-0000-0000-00000D010000}"/>
    <hyperlink ref="O275" r:id="rId271" xr:uid="{00000000-0004-0000-0000-00000E010000}"/>
    <hyperlink ref="O276" r:id="rId272" xr:uid="{00000000-0004-0000-0000-00000F010000}"/>
    <hyperlink ref="O278" r:id="rId273" xr:uid="{00000000-0004-0000-0000-000010010000}"/>
    <hyperlink ref="O279" r:id="rId274" xr:uid="{00000000-0004-0000-0000-000011010000}"/>
    <hyperlink ref="O280" r:id="rId275" xr:uid="{00000000-0004-0000-0000-000012010000}"/>
    <hyperlink ref="O281" r:id="rId276" xr:uid="{00000000-0004-0000-0000-000013010000}"/>
    <hyperlink ref="O282" r:id="rId277" xr:uid="{00000000-0004-0000-0000-000014010000}"/>
    <hyperlink ref="O283" r:id="rId278" xr:uid="{00000000-0004-0000-0000-000015010000}"/>
    <hyperlink ref="O284" r:id="rId279" xr:uid="{00000000-0004-0000-0000-000016010000}"/>
    <hyperlink ref="O285" r:id="rId280" xr:uid="{00000000-0004-0000-0000-000017010000}"/>
    <hyperlink ref="O286" r:id="rId281" xr:uid="{00000000-0004-0000-0000-000018010000}"/>
    <hyperlink ref="O287" r:id="rId282" xr:uid="{00000000-0004-0000-0000-000019010000}"/>
    <hyperlink ref="O288" r:id="rId283" xr:uid="{00000000-0004-0000-0000-00001A010000}"/>
    <hyperlink ref="O289" r:id="rId284" xr:uid="{00000000-0004-0000-0000-00001B010000}"/>
    <hyperlink ref="O290" r:id="rId285" xr:uid="{00000000-0004-0000-0000-00001C010000}"/>
    <hyperlink ref="O291" r:id="rId286" xr:uid="{00000000-0004-0000-0000-00001D010000}"/>
    <hyperlink ref="O292" r:id="rId287" xr:uid="{00000000-0004-0000-0000-00001E010000}"/>
    <hyperlink ref="O293" r:id="rId288" xr:uid="{00000000-0004-0000-0000-00001F010000}"/>
    <hyperlink ref="O294" r:id="rId289" xr:uid="{00000000-0004-0000-0000-000020010000}"/>
    <hyperlink ref="O295" r:id="rId290" xr:uid="{00000000-0004-0000-0000-000021010000}"/>
    <hyperlink ref="O296" r:id="rId291" xr:uid="{00000000-0004-0000-0000-000022010000}"/>
    <hyperlink ref="O297" r:id="rId292" xr:uid="{00000000-0004-0000-0000-000023010000}"/>
    <hyperlink ref="O298" r:id="rId293" xr:uid="{00000000-0004-0000-0000-000024010000}"/>
    <hyperlink ref="O299" r:id="rId294" xr:uid="{00000000-0004-0000-0000-000025010000}"/>
    <hyperlink ref="O300" r:id="rId295" xr:uid="{00000000-0004-0000-0000-000026010000}"/>
    <hyperlink ref="O301" r:id="rId296" xr:uid="{00000000-0004-0000-0000-000027010000}"/>
    <hyperlink ref="O302" r:id="rId297" xr:uid="{00000000-0004-0000-0000-000028010000}"/>
    <hyperlink ref="O303" r:id="rId298" xr:uid="{00000000-0004-0000-0000-000029010000}"/>
    <hyperlink ref="O304" r:id="rId299" xr:uid="{00000000-0004-0000-0000-00002A010000}"/>
    <hyperlink ref="O305" r:id="rId300" xr:uid="{00000000-0004-0000-0000-00002B010000}"/>
    <hyperlink ref="O306" r:id="rId301" xr:uid="{00000000-0004-0000-0000-00002C010000}"/>
    <hyperlink ref="O307" r:id="rId302" xr:uid="{00000000-0004-0000-0000-00002D010000}"/>
    <hyperlink ref="O308" r:id="rId303" xr:uid="{00000000-0004-0000-0000-00002E010000}"/>
    <hyperlink ref="O309" r:id="rId304" xr:uid="{00000000-0004-0000-0000-00002F010000}"/>
    <hyperlink ref="O310" r:id="rId305" xr:uid="{00000000-0004-0000-0000-000030010000}"/>
    <hyperlink ref="O311" r:id="rId306" xr:uid="{00000000-0004-0000-0000-000031010000}"/>
    <hyperlink ref="O312" r:id="rId307" xr:uid="{00000000-0004-0000-0000-000032010000}"/>
    <hyperlink ref="O313" r:id="rId308" xr:uid="{00000000-0004-0000-0000-000033010000}"/>
    <hyperlink ref="O314" r:id="rId309" xr:uid="{00000000-0004-0000-0000-000034010000}"/>
    <hyperlink ref="O315" r:id="rId310" xr:uid="{00000000-0004-0000-0000-000035010000}"/>
    <hyperlink ref="O316" r:id="rId311" xr:uid="{00000000-0004-0000-0000-000036010000}"/>
    <hyperlink ref="O317" r:id="rId312" xr:uid="{00000000-0004-0000-0000-000037010000}"/>
    <hyperlink ref="O318" r:id="rId313" xr:uid="{00000000-0004-0000-0000-000038010000}"/>
    <hyperlink ref="O319" r:id="rId314" xr:uid="{00000000-0004-0000-0000-000039010000}"/>
    <hyperlink ref="O320" r:id="rId315" xr:uid="{00000000-0004-0000-0000-00003A010000}"/>
    <hyperlink ref="O321" r:id="rId316" xr:uid="{00000000-0004-0000-0000-00003B010000}"/>
    <hyperlink ref="O322" r:id="rId317" xr:uid="{00000000-0004-0000-0000-00003C010000}"/>
    <hyperlink ref="O323" r:id="rId318" xr:uid="{00000000-0004-0000-0000-00003D010000}"/>
    <hyperlink ref="O324" r:id="rId319" xr:uid="{00000000-0004-0000-0000-00003E010000}"/>
    <hyperlink ref="O325" r:id="rId320" xr:uid="{00000000-0004-0000-0000-00003F010000}"/>
    <hyperlink ref="O326" r:id="rId321" xr:uid="{00000000-0004-0000-0000-000040010000}"/>
    <hyperlink ref="O327" r:id="rId322" xr:uid="{00000000-0004-0000-0000-000041010000}"/>
    <hyperlink ref="O328" r:id="rId323" xr:uid="{00000000-0004-0000-0000-000042010000}"/>
    <hyperlink ref="O329" r:id="rId324" xr:uid="{00000000-0004-0000-0000-000043010000}"/>
    <hyperlink ref="O330" r:id="rId325" xr:uid="{00000000-0004-0000-0000-000044010000}"/>
    <hyperlink ref="O331" r:id="rId326" xr:uid="{00000000-0004-0000-0000-000045010000}"/>
    <hyperlink ref="O332" r:id="rId327" xr:uid="{00000000-0004-0000-0000-000046010000}"/>
    <hyperlink ref="O333" r:id="rId328" xr:uid="{00000000-0004-0000-0000-000047010000}"/>
    <hyperlink ref="O334" r:id="rId329" xr:uid="{00000000-0004-0000-0000-000048010000}"/>
    <hyperlink ref="O335" r:id="rId330" xr:uid="{00000000-0004-0000-0000-000049010000}"/>
    <hyperlink ref="O336" r:id="rId331" xr:uid="{00000000-0004-0000-0000-00004A010000}"/>
    <hyperlink ref="O337" r:id="rId332" xr:uid="{00000000-0004-0000-0000-00004B010000}"/>
    <hyperlink ref="O338" r:id="rId333" xr:uid="{00000000-0004-0000-0000-00004C010000}"/>
    <hyperlink ref="O339" r:id="rId334" xr:uid="{00000000-0004-0000-0000-00004D010000}"/>
    <hyperlink ref="O340" r:id="rId335" xr:uid="{00000000-0004-0000-0000-00004E010000}"/>
    <hyperlink ref="O341" r:id="rId336" xr:uid="{00000000-0004-0000-0000-00004F010000}"/>
    <hyperlink ref="O342" r:id="rId337" xr:uid="{00000000-0004-0000-0000-000050010000}"/>
    <hyperlink ref="O343" r:id="rId338" xr:uid="{00000000-0004-0000-0000-000051010000}"/>
    <hyperlink ref="O344" r:id="rId339" xr:uid="{00000000-0004-0000-0000-000052010000}"/>
    <hyperlink ref="O345" r:id="rId340" xr:uid="{00000000-0004-0000-0000-000053010000}"/>
    <hyperlink ref="O346" r:id="rId341" xr:uid="{00000000-0004-0000-0000-000054010000}"/>
    <hyperlink ref="O347" r:id="rId342" xr:uid="{00000000-0004-0000-0000-000055010000}"/>
    <hyperlink ref="O348" r:id="rId343" xr:uid="{00000000-0004-0000-0000-000056010000}"/>
    <hyperlink ref="O349" r:id="rId344" xr:uid="{00000000-0004-0000-0000-000057010000}"/>
    <hyperlink ref="O350" r:id="rId345" xr:uid="{00000000-0004-0000-0000-000058010000}"/>
    <hyperlink ref="O351" r:id="rId346" xr:uid="{00000000-0004-0000-0000-000059010000}"/>
    <hyperlink ref="O352" r:id="rId347" xr:uid="{00000000-0004-0000-0000-00005A010000}"/>
    <hyperlink ref="O353" r:id="rId348" xr:uid="{00000000-0004-0000-0000-00005B010000}"/>
    <hyperlink ref="O354" r:id="rId349" xr:uid="{00000000-0004-0000-0000-00005C010000}"/>
    <hyperlink ref="O355" r:id="rId350" xr:uid="{00000000-0004-0000-0000-00005D010000}"/>
    <hyperlink ref="O356" r:id="rId351" xr:uid="{00000000-0004-0000-0000-00005E010000}"/>
    <hyperlink ref="O357" r:id="rId352" xr:uid="{00000000-0004-0000-0000-00005F010000}"/>
    <hyperlink ref="O358" r:id="rId353" xr:uid="{00000000-0004-0000-0000-000060010000}"/>
    <hyperlink ref="O359" r:id="rId354" xr:uid="{00000000-0004-0000-0000-000061010000}"/>
    <hyperlink ref="O360" r:id="rId355" xr:uid="{00000000-0004-0000-0000-000062010000}"/>
    <hyperlink ref="O361" r:id="rId356" xr:uid="{00000000-0004-0000-0000-000063010000}"/>
    <hyperlink ref="O362" r:id="rId357" xr:uid="{00000000-0004-0000-0000-000064010000}"/>
    <hyperlink ref="O363" r:id="rId358" xr:uid="{00000000-0004-0000-0000-000065010000}"/>
    <hyperlink ref="O364" r:id="rId359" xr:uid="{00000000-0004-0000-0000-000066010000}"/>
    <hyperlink ref="O365" r:id="rId360" xr:uid="{00000000-0004-0000-0000-000067010000}"/>
    <hyperlink ref="O366" r:id="rId361" xr:uid="{00000000-0004-0000-0000-000068010000}"/>
    <hyperlink ref="O367" r:id="rId362" xr:uid="{00000000-0004-0000-0000-000069010000}"/>
    <hyperlink ref="O368" r:id="rId363" xr:uid="{00000000-0004-0000-0000-00006A010000}"/>
    <hyperlink ref="O369" r:id="rId364" xr:uid="{00000000-0004-0000-0000-00006B010000}"/>
    <hyperlink ref="O370" r:id="rId365" xr:uid="{00000000-0004-0000-0000-00006C010000}"/>
    <hyperlink ref="O371" r:id="rId366" xr:uid="{00000000-0004-0000-0000-00006D010000}"/>
    <hyperlink ref="O372" r:id="rId367" xr:uid="{00000000-0004-0000-0000-00006E010000}"/>
    <hyperlink ref="O373" r:id="rId368" xr:uid="{00000000-0004-0000-0000-00006F010000}"/>
    <hyperlink ref="O374" r:id="rId369" xr:uid="{00000000-0004-0000-0000-000070010000}"/>
    <hyperlink ref="O375" r:id="rId370" xr:uid="{00000000-0004-0000-0000-000071010000}"/>
    <hyperlink ref="O376" r:id="rId371" xr:uid="{00000000-0004-0000-0000-000072010000}"/>
    <hyperlink ref="O377" r:id="rId372" xr:uid="{00000000-0004-0000-0000-000073010000}"/>
    <hyperlink ref="O378" r:id="rId373" xr:uid="{00000000-0004-0000-0000-000074010000}"/>
    <hyperlink ref="O379" r:id="rId374" xr:uid="{00000000-0004-0000-0000-000075010000}"/>
    <hyperlink ref="O380" r:id="rId375" xr:uid="{00000000-0004-0000-0000-000076010000}"/>
    <hyperlink ref="O381" r:id="rId376" xr:uid="{00000000-0004-0000-0000-000077010000}"/>
    <hyperlink ref="O382" r:id="rId377" xr:uid="{00000000-0004-0000-0000-000078010000}"/>
    <hyperlink ref="O383" r:id="rId378" xr:uid="{00000000-0004-0000-0000-000079010000}"/>
    <hyperlink ref="O384" r:id="rId379" xr:uid="{00000000-0004-0000-0000-00007A010000}"/>
    <hyperlink ref="O385" r:id="rId380" xr:uid="{00000000-0004-0000-0000-00007B010000}"/>
    <hyperlink ref="O386" r:id="rId381" xr:uid="{00000000-0004-0000-0000-00007C010000}"/>
    <hyperlink ref="O387" r:id="rId382" xr:uid="{00000000-0004-0000-0000-00007D010000}"/>
    <hyperlink ref="O388" r:id="rId383" xr:uid="{00000000-0004-0000-0000-00007E010000}"/>
    <hyperlink ref="O389" r:id="rId384" xr:uid="{00000000-0004-0000-0000-00007F010000}"/>
    <hyperlink ref="O390" r:id="rId385" xr:uid="{00000000-0004-0000-0000-000080010000}"/>
    <hyperlink ref="O391" r:id="rId386" xr:uid="{00000000-0004-0000-0000-000081010000}"/>
    <hyperlink ref="O392" r:id="rId387" xr:uid="{00000000-0004-0000-0000-000082010000}"/>
    <hyperlink ref="O393" r:id="rId388" xr:uid="{00000000-0004-0000-0000-000083010000}"/>
    <hyperlink ref="O394" r:id="rId389" xr:uid="{00000000-0004-0000-0000-000084010000}"/>
    <hyperlink ref="O395" r:id="rId390" xr:uid="{00000000-0004-0000-0000-000085010000}"/>
    <hyperlink ref="O396" r:id="rId391" xr:uid="{00000000-0004-0000-0000-000086010000}"/>
    <hyperlink ref="O397" r:id="rId392" xr:uid="{00000000-0004-0000-0000-000087010000}"/>
    <hyperlink ref="O398" r:id="rId393" xr:uid="{00000000-0004-0000-0000-000088010000}"/>
    <hyperlink ref="O399" r:id="rId394" xr:uid="{00000000-0004-0000-0000-000089010000}"/>
    <hyperlink ref="O400" r:id="rId395" xr:uid="{00000000-0004-0000-0000-00008A010000}"/>
    <hyperlink ref="O401" r:id="rId396" xr:uid="{00000000-0004-0000-0000-00008B010000}"/>
    <hyperlink ref="O402" r:id="rId397" xr:uid="{00000000-0004-0000-0000-00008C010000}"/>
    <hyperlink ref="O403" r:id="rId398" xr:uid="{00000000-0004-0000-0000-00008D010000}"/>
    <hyperlink ref="O404" r:id="rId399" xr:uid="{00000000-0004-0000-0000-00008E010000}"/>
    <hyperlink ref="O405" r:id="rId400" xr:uid="{00000000-0004-0000-0000-00008F010000}"/>
    <hyperlink ref="O406" r:id="rId401" xr:uid="{00000000-0004-0000-0000-000090010000}"/>
    <hyperlink ref="O407" r:id="rId402" xr:uid="{00000000-0004-0000-0000-000091010000}"/>
    <hyperlink ref="O408" r:id="rId403" xr:uid="{00000000-0004-0000-0000-000092010000}"/>
    <hyperlink ref="O409" r:id="rId404" xr:uid="{00000000-0004-0000-0000-000093010000}"/>
    <hyperlink ref="O410" r:id="rId405" xr:uid="{00000000-0004-0000-0000-000094010000}"/>
    <hyperlink ref="O411" r:id="rId406" xr:uid="{00000000-0004-0000-0000-000095010000}"/>
    <hyperlink ref="O412" r:id="rId407" xr:uid="{00000000-0004-0000-0000-000096010000}"/>
    <hyperlink ref="O413" r:id="rId408" xr:uid="{00000000-0004-0000-0000-000097010000}"/>
    <hyperlink ref="O414" r:id="rId409" xr:uid="{00000000-0004-0000-0000-000098010000}"/>
    <hyperlink ref="O415" r:id="rId410" xr:uid="{00000000-0004-0000-0000-000099010000}"/>
    <hyperlink ref="O416" r:id="rId411" xr:uid="{00000000-0004-0000-0000-00009A010000}"/>
    <hyperlink ref="O417" r:id="rId412" xr:uid="{00000000-0004-0000-0000-00009B010000}"/>
    <hyperlink ref="O418" r:id="rId413" xr:uid="{00000000-0004-0000-0000-00009C010000}"/>
    <hyperlink ref="O419" r:id="rId414" xr:uid="{00000000-0004-0000-0000-00009D010000}"/>
    <hyperlink ref="O420" r:id="rId415" xr:uid="{00000000-0004-0000-0000-00009E010000}"/>
    <hyperlink ref="O421" r:id="rId416" xr:uid="{00000000-0004-0000-0000-00009F010000}"/>
    <hyperlink ref="O422" r:id="rId417" xr:uid="{00000000-0004-0000-0000-0000A0010000}"/>
    <hyperlink ref="O423" r:id="rId418" xr:uid="{00000000-0004-0000-0000-0000A1010000}"/>
    <hyperlink ref="O424" r:id="rId419" xr:uid="{00000000-0004-0000-0000-0000A2010000}"/>
    <hyperlink ref="O425" r:id="rId420" xr:uid="{00000000-0004-0000-0000-0000A3010000}"/>
    <hyperlink ref="O426" r:id="rId421" xr:uid="{00000000-0004-0000-0000-0000A4010000}"/>
    <hyperlink ref="O427" r:id="rId422" xr:uid="{00000000-0004-0000-0000-0000A5010000}"/>
    <hyperlink ref="O428" r:id="rId423" xr:uid="{00000000-0004-0000-0000-0000A6010000}"/>
    <hyperlink ref="O429" r:id="rId424" xr:uid="{00000000-0004-0000-0000-0000A7010000}"/>
    <hyperlink ref="O430" r:id="rId425" xr:uid="{00000000-0004-0000-0000-0000A8010000}"/>
    <hyperlink ref="O431" r:id="rId426" xr:uid="{00000000-0004-0000-0000-0000A9010000}"/>
    <hyperlink ref="O432" r:id="rId427" xr:uid="{00000000-0004-0000-0000-0000AA010000}"/>
    <hyperlink ref="O433" r:id="rId428" xr:uid="{00000000-0004-0000-0000-0000AB010000}"/>
    <hyperlink ref="O434" r:id="rId429" xr:uid="{00000000-0004-0000-0000-0000AC010000}"/>
    <hyperlink ref="O435" r:id="rId430" xr:uid="{00000000-0004-0000-0000-0000AD010000}"/>
    <hyperlink ref="O436" r:id="rId431" xr:uid="{00000000-0004-0000-0000-0000AE010000}"/>
    <hyperlink ref="O437" r:id="rId432" xr:uid="{00000000-0004-0000-0000-0000AF010000}"/>
    <hyperlink ref="O438" r:id="rId433" xr:uid="{00000000-0004-0000-0000-0000B0010000}"/>
    <hyperlink ref="O439" r:id="rId434" xr:uid="{00000000-0004-0000-0000-0000B1010000}"/>
    <hyperlink ref="O440" r:id="rId435" xr:uid="{00000000-0004-0000-0000-0000B2010000}"/>
    <hyperlink ref="O441" r:id="rId436" xr:uid="{00000000-0004-0000-0000-0000B3010000}"/>
    <hyperlink ref="O442" r:id="rId437" xr:uid="{00000000-0004-0000-0000-0000B4010000}"/>
    <hyperlink ref="O443" r:id="rId438" xr:uid="{00000000-0004-0000-0000-0000B5010000}"/>
    <hyperlink ref="O444" r:id="rId439" xr:uid="{00000000-0004-0000-0000-0000B6010000}"/>
    <hyperlink ref="O445" r:id="rId440" xr:uid="{00000000-0004-0000-0000-0000B7010000}"/>
    <hyperlink ref="O446" r:id="rId441" xr:uid="{00000000-0004-0000-0000-0000B8010000}"/>
    <hyperlink ref="O447" r:id="rId442" xr:uid="{00000000-0004-0000-0000-0000B9010000}"/>
    <hyperlink ref="O448" r:id="rId443" xr:uid="{00000000-0004-0000-0000-0000BA010000}"/>
    <hyperlink ref="O449" r:id="rId444" xr:uid="{00000000-0004-0000-0000-0000BB010000}"/>
    <hyperlink ref="O450" r:id="rId445" xr:uid="{00000000-0004-0000-0000-0000BC010000}"/>
    <hyperlink ref="O451" r:id="rId446" xr:uid="{00000000-0004-0000-0000-0000BD010000}"/>
    <hyperlink ref="O452" r:id="rId447" xr:uid="{00000000-0004-0000-0000-0000BE010000}"/>
    <hyperlink ref="O453" r:id="rId448" xr:uid="{00000000-0004-0000-0000-0000BF010000}"/>
    <hyperlink ref="O454" r:id="rId449" xr:uid="{00000000-0004-0000-0000-0000C0010000}"/>
    <hyperlink ref="O455" r:id="rId450" xr:uid="{00000000-0004-0000-0000-0000C1010000}"/>
    <hyperlink ref="O456" r:id="rId451" xr:uid="{00000000-0004-0000-0000-0000C2010000}"/>
    <hyperlink ref="O457" r:id="rId452" xr:uid="{00000000-0004-0000-0000-0000C3010000}"/>
    <hyperlink ref="O458" r:id="rId453" xr:uid="{00000000-0004-0000-0000-0000C4010000}"/>
    <hyperlink ref="O459" r:id="rId454" xr:uid="{00000000-0004-0000-0000-0000C5010000}"/>
    <hyperlink ref="O460" r:id="rId455" xr:uid="{00000000-0004-0000-0000-0000C6010000}"/>
    <hyperlink ref="O461" r:id="rId456" xr:uid="{00000000-0004-0000-0000-0000C7010000}"/>
    <hyperlink ref="O462" r:id="rId457" xr:uid="{00000000-0004-0000-0000-0000C8010000}"/>
    <hyperlink ref="O463" r:id="rId458" xr:uid="{00000000-0004-0000-0000-0000C9010000}"/>
    <hyperlink ref="O464" r:id="rId459" xr:uid="{00000000-0004-0000-0000-0000CA010000}"/>
    <hyperlink ref="O465" r:id="rId460" xr:uid="{00000000-0004-0000-0000-0000CB010000}"/>
    <hyperlink ref="O466" r:id="rId461" xr:uid="{00000000-0004-0000-0000-0000CC010000}"/>
    <hyperlink ref="O467" r:id="rId462" xr:uid="{00000000-0004-0000-0000-0000CD010000}"/>
    <hyperlink ref="O468" r:id="rId463" xr:uid="{00000000-0004-0000-0000-0000CE010000}"/>
    <hyperlink ref="O469" r:id="rId464" xr:uid="{00000000-0004-0000-0000-0000CF010000}"/>
    <hyperlink ref="O470" r:id="rId465" xr:uid="{00000000-0004-0000-0000-0000D0010000}"/>
    <hyperlink ref="O471" r:id="rId466" xr:uid="{00000000-0004-0000-0000-0000D1010000}"/>
    <hyperlink ref="O472" r:id="rId467" xr:uid="{00000000-0004-0000-0000-0000D2010000}"/>
    <hyperlink ref="O473" r:id="rId468" xr:uid="{00000000-0004-0000-0000-0000D3010000}"/>
    <hyperlink ref="O474" r:id="rId469" xr:uid="{00000000-0004-0000-0000-0000D4010000}"/>
    <hyperlink ref="O475" r:id="rId470" xr:uid="{00000000-0004-0000-0000-0000D5010000}"/>
    <hyperlink ref="O476" r:id="rId471" xr:uid="{00000000-0004-0000-0000-0000D6010000}"/>
    <hyperlink ref="O477" r:id="rId472" xr:uid="{00000000-0004-0000-0000-0000D7010000}"/>
    <hyperlink ref="O478" r:id="rId473" xr:uid="{00000000-0004-0000-0000-0000D8010000}"/>
    <hyperlink ref="O479" r:id="rId474" xr:uid="{00000000-0004-0000-0000-0000D9010000}"/>
    <hyperlink ref="O480" r:id="rId475" xr:uid="{00000000-0004-0000-0000-0000DA010000}"/>
    <hyperlink ref="O481" r:id="rId476" xr:uid="{00000000-0004-0000-0000-0000DB010000}"/>
    <hyperlink ref="O482" r:id="rId477" xr:uid="{00000000-0004-0000-0000-0000DC010000}"/>
    <hyperlink ref="O483" r:id="rId478" xr:uid="{00000000-0004-0000-0000-0000DD010000}"/>
    <hyperlink ref="O484" r:id="rId479" xr:uid="{00000000-0004-0000-0000-0000DE010000}"/>
    <hyperlink ref="O485" r:id="rId480" xr:uid="{00000000-0004-0000-0000-0000DF010000}"/>
    <hyperlink ref="O486" r:id="rId481" xr:uid="{00000000-0004-0000-0000-0000E0010000}"/>
    <hyperlink ref="O487" r:id="rId482" xr:uid="{00000000-0004-0000-0000-0000E1010000}"/>
    <hyperlink ref="O488" r:id="rId483" xr:uid="{00000000-0004-0000-0000-0000E2010000}"/>
    <hyperlink ref="O489" r:id="rId484" xr:uid="{00000000-0004-0000-0000-0000E3010000}"/>
    <hyperlink ref="O490" r:id="rId485" xr:uid="{00000000-0004-0000-0000-0000E4010000}"/>
    <hyperlink ref="O491" r:id="rId486" xr:uid="{00000000-0004-0000-0000-0000E5010000}"/>
    <hyperlink ref="O492" r:id="rId487" xr:uid="{00000000-0004-0000-0000-0000E6010000}"/>
    <hyperlink ref="O493" r:id="rId488" xr:uid="{00000000-0004-0000-0000-0000E7010000}"/>
    <hyperlink ref="O494" r:id="rId489" xr:uid="{00000000-0004-0000-0000-0000E8010000}"/>
    <hyperlink ref="O495" r:id="rId490" xr:uid="{00000000-0004-0000-0000-0000E9010000}"/>
    <hyperlink ref="O496" r:id="rId491" xr:uid="{00000000-0004-0000-0000-0000EA010000}"/>
    <hyperlink ref="O497" r:id="rId492" xr:uid="{00000000-0004-0000-0000-0000EB010000}"/>
    <hyperlink ref="O498" r:id="rId493" xr:uid="{00000000-0004-0000-0000-0000EC010000}"/>
    <hyperlink ref="O499" r:id="rId494" xr:uid="{00000000-0004-0000-0000-0000ED010000}"/>
    <hyperlink ref="O500" r:id="rId495" xr:uid="{00000000-0004-0000-0000-0000EE010000}"/>
    <hyperlink ref="O501" r:id="rId496" xr:uid="{00000000-0004-0000-0000-0000EF010000}"/>
    <hyperlink ref="O502" r:id="rId497" xr:uid="{00000000-0004-0000-0000-0000F0010000}"/>
    <hyperlink ref="O503" r:id="rId498" xr:uid="{00000000-0004-0000-0000-0000F1010000}"/>
    <hyperlink ref="O504" r:id="rId499" xr:uid="{00000000-0004-0000-0000-0000F2010000}"/>
    <hyperlink ref="O505" r:id="rId500" xr:uid="{00000000-0004-0000-0000-0000F3010000}"/>
    <hyperlink ref="O506" r:id="rId501" xr:uid="{00000000-0004-0000-0000-0000F4010000}"/>
    <hyperlink ref="O507" r:id="rId502" xr:uid="{00000000-0004-0000-0000-0000F5010000}"/>
    <hyperlink ref="O509" r:id="rId503" xr:uid="{00000000-0004-0000-0000-0000F6010000}"/>
    <hyperlink ref="O510" r:id="rId504" xr:uid="{00000000-0004-0000-0000-0000F7010000}"/>
    <hyperlink ref="O511" r:id="rId505" xr:uid="{00000000-0004-0000-0000-0000F8010000}"/>
    <hyperlink ref="O512" r:id="rId506" xr:uid="{00000000-0004-0000-0000-0000F9010000}"/>
    <hyperlink ref="O513" r:id="rId507" xr:uid="{00000000-0004-0000-0000-0000FA010000}"/>
    <hyperlink ref="O514" r:id="rId508" xr:uid="{00000000-0004-0000-0000-0000FB010000}"/>
    <hyperlink ref="O515" r:id="rId509" xr:uid="{00000000-0004-0000-0000-0000FC010000}"/>
    <hyperlink ref="O516" r:id="rId510" xr:uid="{00000000-0004-0000-0000-0000FD010000}"/>
    <hyperlink ref="O517" r:id="rId511" xr:uid="{00000000-0004-0000-0000-0000FE010000}"/>
    <hyperlink ref="O518" r:id="rId512" xr:uid="{00000000-0004-0000-0000-0000FF010000}"/>
    <hyperlink ref="O519" r:id="rId513" xr:uid="{00000000-0004-0000-0000-000000020000}"/>
    <hyperlink ref="O520" r:id="rId514" xr:uid="{00000000-0004-0000-0000-000001020000}"/>
    <hyperlink ref="O521" r:id="rId515" xr:uid="{00000000-0004-0000-0000-000002020000}"/>
    <hyperlink ref="O522" r:id="rId516" xr:uid="{00000000-0004-0000-0000-000003020000}"/>
    <hyperlink ref="O523" r:id="rId517" xr:uid="{00000000-0004-0000-0000-000004020000}"/>
    <hyperlink ref="O524" r:id="rId518" xr:uid="{00000000-0004-0000-0000-000005020000}"/>
    <hyperlink ref="O525" r:id="rId519" xr:uid="{00000000-0004-0000-0000-000006020000}"/>
    <hyperlink ref="O526" r:id="rId520" xr:uid="{00000000-0004-0000-0000-000007020000}"/>
    <hyperlink ref="O527" r:id="rId521" xr:uid="{00000000-0004-0000-0000-000008020000}"/>
    <hyperlink ref="O528" r:id="rId522" xr:uid="{00000000-0004-0000-0000-000009020000}"/>
    <hyperlink ref="O529" r:id="rId523" xr:uid="{00000000-0004-0000-0000-00000A020000}"/>
    <hyperlink ref="O530" r:id="rId524" xr:uid="{00000000-0004-0000-0000-00000B020000}"/>
    <hyperlink ref="O531" r:id="rId525" xr:uid="{00000000-0004-0000-0000-00000C020000}"/>
    <hyperlink ref="O532" r:id="rId526" xr:uid="{00000000-0004-0000-0000-00000D020000}"/>
    <hyperlink ref="O533" r:id="rId527" xr:uid="{00000000-0004-0000-0000-00000E020000}"/>
    <hyperlink ref="O534" r:id="rId528" xr:uid="{00000000-0004-0000-0000-00000F020000}"/>
    <hyperlink ref="O535" r:id="rId529" xr:uid="{00000000-0004-0000-0000-000010020000}"/>
    <hyperlink ref="O536" r:id="rId530" xr:uid="{00000000-0004-0000-0000-000011020000}"/>
    <hyperlink ref="O537" r:id="rId531" xr:uid="{00000000-0004-0000-0000-000012020000}"/>
    <hyperlink ref="O538" r:id="rId532" xr:uid="{00000000-0004-0000-0000-000013020000}"/>
    <hyperlink ref="O539" r:id="rId533" xr:uid="{00000000-0004-0000-0000-000014020000}"/>
    <hyperlink ref="O540" r:id="rId534" xr:uid="{00000000-0004-0000-0000-000015020000}"/>
    <hyperlink ref="O541" r:id="rId535" xr:uid="{00000000-0004-0000-0000-000016020000}"/>
    <hyperlink ref="O542" r:id="rId536" xr:uid="{00000000-0004-0000-0000-000017020000}"/>
    <hyperlink ref="O543" r:id="rId537" xr:uid="{00000000-0004-0000-0000-000018020000}"/>
    <hyperlink ref="O544" r:id="rId538" xr:uid="{00000000-0004-0000-0000-000019020000}"/>
    <hyperlink ref="O545" r:id="rId539" xr:uid="{00000000-0004-0000-0000-00001A020000}"/>
    <hyperlink ref="O546" r:id="rId540" xr:uid="{00000000-0004-0000-0000-00001B020000}"/>
    <hyperlink ref="O547" r:id="rId541" xr:uid="{00000000-0004-0000-0000-00001C020000}"/>
    <hyperlink ref="O548" r:id="rId542" xr:uid="{00000000-0004-0000-0000-00001D020000}"/>
    <hyperlink ref="O549" r:id="rId543" xr:uid="{00000000-0004-0000-0000-00001E020000}"/>
    <hyperlink ref="O550" r:id="rId544" xr:uid="{00000000-0004-0000-0000-00001F020000}"/>
    <hyperlink ref="O551" r:id="rId545" xr:uid="{00000000-0004-0000-0000-000020020000}"/>
    <hyperlink ref="O552" r:id="rId546" xr:uid="{00000000-0004-0000-0000-000021020000}"/>
    <hyperlink ref="O553" r:id="rId547" xr:uid="{00000000-0004-0000-0000-000022020000}"/>
    <hyperlink ref="O554" r:id="rId548" xr:uid="{00000000-0004-0000-0000-000023020000}"/>
    <hyperlink ref="O555" r:id="rId549" xr:uid="{00000000-0004-0000-0000-000024020000}"/>
    <hyperlink ref="O556" r:id="rId550" xr:uid="{00000000-0004-0000-0000-000025020000}"/>
    <hyperlink ref="O557" r:id="rId551" xr:uid="{00000000-0004-0000-0000-000026020000}"/>
    <hyperlink ref="O558" r:id="rId552" xr:uid="{00000000-0004-0000-0000-000027020000}"/>
    <hyperlink ref="O559" r:id="rId553" xr:uid="{00000000-0004-0000-0000-000028020000}"/>
    <hyperlink ref="O560" r:id="rId554" xr:uid="{00000000-0004-0000-0000-000029020000}"/>
    <hyperlink ref="O561" r:id="rId555" xr:uid="{00000000-0004-0000-0000-00002A020000}"/>
    <hyperlink ref="O562" r:id="rId556" xr:uid="{00000000-0004-0000-0000-00002B020000}"/>
    <hyperlink ref="O563" r:id="rId557" xr:uid="{00000000-0004-0000-0000-00002C020000}"/>
    <hyperlink ref="O564" r:id="rId558" xr:uid="{00000000-0004-0000-0000-00002D020000}"/>
    <hyperlink ref="O565" r:id="rId559" xr:uid="{00000000-0004-0000-0000-00002E020000}"/>
    <hyperlink ref="O566" r:id="rId560" xr:uid="{00000000-0004-0000-0000-00002F020000}"/>
    <hyperlink ref="O567" r:id="rId561" xr:uid="{00000000-0004-0000-0000-000030020000}"/>
    <hyperlink ref="O568" r:id="rId562" xr:uid="{00000000-0004-0000-0000-000031020000}"/>
    <hyperlink ref="O569" r:id="rId563" xr:uid="{00000000-0004-0000-0000-000032020000}"/>
    <hyperlink ref="O570" r:id="rId564" xr:uid="{00000000-0004-0000-0000-000033020000}"/>
    <hyperlink ref="O571" r:id="rId565" xr:uid="{00000000-0004-0000-0000-000034020000}"/>
    <hyperlink ref="O572" r:id="rId566" xr:uid="{00000000-0004-0000-0000-000035020000}"/>
    <hyperlink ref="O573" r:id="rId567" xr:uid="{00000000-0004-0000-0000-000036020000}"/>
    <hyperlink ref="O574" r:id="rId568" xr:uid="{00000000-0004-0000-0000-000037020000}"/>
    <hyperlink ref="O575" r:id="rId569" xr:uid="{00000000-0004-0000-0000-000038020000}"/>
    <hyperlink ref="O576" r:id="rId570" xr:uid="{00000000-0004-0000-0000-000039020000}"/>
    <hyperlink ref="O577" r:id="rId571" xr:uid="{00000000-0004-0000-0000-00003A020000}"/>
    <hyperlink ref="O578" r:id="rId572" xr:uid="{00000000-0004-0000-0000-00003B020000}"/>
    <hyperlink ref="O579" r:id="rId573" xr:uid="{00000000-0004-0000-0000-00003C020000}"/>
    <hyperlink ref="O580" r:id="rId574" xr:uid="{00000000-0004-0000-0000-00003D020000}"/>
    <hyperlink ref="O581" r:id="rId575" xr:uid="{00000000-0004-0000-0000-00003E020000}"/>
    <hyperlink ref="O582" r:id="rId576" xr:uid="{00000000-0004-0000-0000-00003F020000}"/>
    <hyperlink ref="O583" r:id="rId577" xr:uid="{00000000-0004-0000-0000-000040020000}"/>
    <hyperlink ref="O584" r:id="rId578" xr:uid="{00000000-0004-0000-0000-000041020000}"/>
    <hyperlink ref="O585" r:id="rId579" xr:uid="{00000000-0004-0000-0000-000042020000}"/>
    <hyperlink ref="O586" r:id="rId580" xr:uid="{00000000-0004-0000-0000-000043020000}"/>
    <hyperlink ref="O587" r:id="rId581" xr:uid="{00000000-0004-0000-0000-000044020000}"/>
    <hyperlink ref="O588" r:id="rId582" xr:uid="{00000000-0004-0000-0000-000045020000}"/>
    <hyperlink ref="O589" r:id="rId583" xr:uid="{00000000-0004-0000-0000-000046020000}"/>
    <hyperlink ref="O590" r:id="rId584" xr:uid="{00000000-0004-0000-0000-000047020000}"/>
    <hyperlink ref="O591" r:id="rId585" xr:uid="{00000000-0004-0000-0000-000048020000}"/>
    <hyperlink ref="O592" r:id="rId586" xr:uid="{00000000-0004-0000-0000-000049020000}"/>
    <hyperlink ref="O593" r:id="rId587" xr:uid="{00000000-0004-0000-0000-00004A020000}"/>
    <hyperlink ref="O594" r:id="rId588" xr:uid="{00000000-0004-0000-0000-00004B020000}"/>
    <hyperlink ref="O595" r:id="rId589" xr:uid="{00000000-0004-0000-0000-00004C020000}"/>
    <hyperlink ref="O596" r:id="rId590" xr:uid="{00000000-0004-0000-0000-00004D020000}"/>
    <hyperlink ref="O597" r:id="rId591" xr:uid="{00000000-0004-0000-0000-00004E020000}"/>
    <hyperlink ref="O598" r:id="rId592" xr:uid="{00000000-0004-0000-0000-00004F020000}"/>
    <hyperlink ref="O599" r:id="rId593" xr:uid="{00000000-0004-0000-0000-000050020000}"/>
    <hyperlink ref="O600" r:id="rId594" xr:uid="{00000000-0004-0000-0000-000051020000}"/>
    <hyperlink ref="O601" r:id="rId595" xr:uid="{00000000-0004-0000-0000-000052020000}"/>
    <hyperlink ref="O602" r:id="rId596" xr:uid="{00000000-0004-0000-0000-000053020000}"/>
    <hyperlink ref="O603" r:id="rId597" xr:uid="{00000000-0004-0000-0000-000054020000}"/>
    <hyperlink ref="O604" r:id="rId598" xr:uid="{00000000-0004-0000-0000-000055020000}"/>
    <hyperlink ref="O605" r:id="rId599" xr:uid="{00000000-0004-0000-0000-000056020000}"/>
    <hyperlink ref="O606" r:id="rId600" xr:uid="{00000000-0004-0000-0000-000057020000}"/>
    <hyperlink ref="O607" r:id="rId601" xr:uid="{00000000-0004-0000-0000-000058020000}"/>
    <hyperlink ref="O608" r:id="rId602" xr:uid="{00000000-0004-0000-0000-000059020000}"/>
    <hyperlink ref="O609" r:id="rId603" xr:uid="{00000000-0004-0000-0000-00005A020000}"/>
    <hyperlink ref="O610" r:id="rId604" xr:uid="{00000000-0004-0000-0000-00005B020000}"/>
    <hyperlink ref="O611" r:id="rId605" xr:uid="{00000000-0004-0000-0000-00005C020000}"/>
    <hyperlink ref="O612" r:id="rId606" xr:uid="{00000000-0004-0000-0000-00005D020000}"/>
    <hyperlink ref="O613" r:id="rId607" xr:uid="{00000000-0004-0000-0000-00005E020000}"/>
    <hyperlink ref="O614" r:id="rId608" xr:uid="{00000000-0004-0000-0000-00005F020000}"/>
    <hyperlink ref="O615" r:id="rId609" xr:uid="{00000000-0004-0000-0000-000060020000}"/>
    <hyperlink ref="O616" r:id="rId610" xr:uid="{00000000-0004-0000-0000-000061020000}"/>
    <hyperlink ref="O617" r:id="rId611" xr:uid="{00000000-0004-0000-0000-000062020000}"/>
    <hyperlink ref="O618" r:id="rId612" xr:uid="{00000000-0004-0000-0000-000063020000}"/>
    <hyperlink ref="O619" r:id="rId613" xr:uid="{00000000-0004-0000-0000-000064020000}"/>
    <hyperlink ref="O620" r:id="rId614" xr:uid="{00000000-0004-0000-0000-000065020000}"/>
    <hyperlink ref="O621" r:id="rId615" xr:uid="{00000000-0004-0000-0000-000066020000}"/>
    <hyperlink ref="O622" r:id="rId616" xr:uid="{00000000-0004-0000-0000-000067020000}"/>
    <hyperlink ref="O623" r:id="rId617" xr:uid="{00000000-0004-0000-0000-000068020000}"/>
    <hyperlink ref="O624" r:id="rId618" xr:uid="{00000000-0004-0000-0000-000069020000}"/>
    <hyperlink ref="O625" r:id="rId619" xr:uid="{00000000-0004-0000-0000-00006A020000}"/>
    <hyperlink ref="O626" r:id="rId620" xr:uid="{00000000-0004-0000-0000-00006B020000}"/>
    <hyperlink ref="O627" r:id="rId621" xr:uid="{00000000-0004-0000-0000-00006C020000}"/>
    <hyperlink ref="O628" r:id="rId622" xr:uid="{00000000-0004-0000-0000-00006D020000}"/>
    <hyperlink ref="O629" r:id="rId623" xr:uid="{00000000-0004-0000-0000-00006E020000}"/>
    <hyperlink ref="O630" r:id="rId624" xr:uid="{00000000-0004-0000-0000-00006F020000}"/>
    <hyperlink ref="O631" r:id="rId625" xr:uid="{00000000-0004-0000-0000-000070020000}"/>
    <hyperlink ref="O632" r:id="rId626" xr:uid="{00000000-0004-0000-0000-000071020000}"/>
    <hyperlink ref="O633" r:id="rId627" xr:uid="{00000000-0004-0000-0000-000072020000}"/>
    <hyperlink ref="O634" r:id="rId628" xr:uid="{00000000-0004-0000-0000-000073020000}"/>
    <hyperlink ref="O635" r:id="rId629" xr:uid="{00000000-0004-0000-0000-000074020000}"/>
    <hyperlink ref="O636" r:id="rId630" xr:uid="{00000000-0004-0000-0000-000075020000}"/>
    <hyperlink ref="O637" r:id="rId631" xr:uid="{00000000-0004-0000-0000-000076020000}"/>
    <hyperlink ref="O638" r:id="rId632" xr:uid="{00000000-0004-0000-0000-000077020000}"/>
    <hyperlink ref="O639" r:id="rId633" xr:uid="{00000000-0004-0000-0000-000078020000}"/>
    <hyperlink ref="O640" r:id="rId634" xr:uid="{00000000-0004-0000-0000-000079020000}"/>
    <hyperlink ref="O641" r:id="rId635" xr:uid="{00000000-0004-0000-0000-00007A020000}"/>
    <hyperlink ref="O642" r:id="rId636" xr:uid="{00000000-0004-0000-0000-00007B020000}"/>
    <hyperlink ref="O643" r:id="rId637" xr:uid="{00000000-0004-0000-0000-00007C020000}"/>
    <hyperlink ref="O644" r:id="rId638" xr:uid="{00000000-0004-0000-0000-00007D020000}"/>
    <hyperlink ref="O645" r:id="rId639" xr:uid="{00000000-0004-0000-0000-00007E020000}"/>
    <hyperlink ref="O646" r:id="rId640" xr:uid="{00000000-0004-0000-0000-00007F020000}"/>
    <hyperlink ref="O647" r:id="rId641" xr:uid="{00000000-0004-0000-0000-000080020000}"/>
    <hyperlink ref="O648" r:id="rId642" xr:uid="{00000000-0004-0000-0000-000081020000}"/>
    <hyperlink ref="O649" r:id="rId643" xr:uid="{00000000-0004-0000-0000-000082020000}"/>
    <hyperlink ref="O650" r:id="rId644" xr:uid="{00000000-0004-0000-0000-000083020000}"/>
    <hyperlink ref="O651" r:id="rId645" xr:uid="{00000000-0004-0000-0000-000084020000}"/>
    <hyperlink ref="O652" r:id="rId646" xr:uid="{00000000-0004-0000-0000-000085020000}"/>
    <hyperlink ref="O653" r:id="rId647" xr:uid="{00000000-0004-0000-0000-000086020000}"/>
    <hyperlink ref="O654" r:id="rId648" xr:uid="{00000000-0004-0000-0000-000087020000}"/>
    <hyperlink ref="O655" r:id="rId649" xr:uid="{00000000-0004-0000-0000-000088020000}"/>
    <hyperlink ref="O656" r:id="rId650" xr:uid="{00000000-0004-0000-0000-000089020000}"/>
    <hyperlink ref="O657" r:id="rId651" xr:uid="{00000000-0004-0000-0000-00008A020000}"/>
    <hyperlink ref="O658" r:id="rId652" xr:uid="{00000000-0004-0000-0000-00008B020000}"/>
    <hyperlink ref="O659" r:id="rId653" xr:uid="{00000000-0004-0000-0000-00008C020000}"/>
    <hyperlink ref="O660" r:id="rId654" xr:uid="{00000000-0004-0000-0000-00008D020000}"/>
    <hyperlink ref="O661" r:id="rId655" xr:uid="{00000000-0004-0000-0000-00008E020000}"/>
    <hyperlink ref="O662" r:id="rId656" xr:uid="{00000000-0004-0000-0000-00008F020000}"/>
    <hyperlink ref="O663" r:id="rId657" xr:uid="{00000000-0004-0000-0000-000090020000}"/>
    <hyperlink ref="O664" r:id="rId658" xr:uid="{00000000-0004-0000-0000-000091020000}"/>
    <hyperlink ref="O665" r:id="rId659" xr:uid="{00000000-0004-0000-0000-000092020000}"/>
    <hyperlink ref="O666" r:id="rId660" xr:uid="{00000000-0004-0000-0000-000093020000}"/>
    <hyperlink ref="O667" r:id="rId661" xr:uid="{00000000-0004-0000-0000-000094020000}"/>
    <hyperlink ref="O668" r:id="rId662" xr:uid="{00000000-0004-0000-0000-000095020000}"/>
    <hyperlink ref="O669" r:id="rId663" xr:uid="{00000000-0004-0000-0000-000096020000}"/>
    <hyperlink ref="O670" r:id="rId664" xr:uid="{00000000-0004-0000-0000-000097020000}"/>
    <hyperlink ref="O671" r:id="rId665" xr:uid="{00000000-0004-0000-0000-000098020000}"/>
    <hyperlink ref="O672" r:id="rId666" xr:uid="{00000000-0004-0000-0000-000099020000}"/>
    <hyperlink ref="O673" r:id="rId667" xr:uid="{00000000-0004-0000-0000-00009A020000}"/>
    <hyperlink ref="O674" r:id="rId668" xr:uid="{00000000-0004-0000-0000-00009B020000}"/>
    <hyperlink ref="O675" r:id="rId669" xr:uid="{00000000-0004-0000-0000-00009C020000}"/>
    <hyperlink ref="O676" r:id="rId670" xr:uid="{00000000-0004-0000-0000-00009D020000}"/>
    <hyperlink ref="O677" r:id="rId671" xr:uid="{00000000-0004-0000-0000-00009E020000}"/>
    <hyperlink ref="O678" r:id="rId672" xr:uid="{00000000-0004-0000-0000-00009F020000}"/>
    <hyperlink ref="O679" r:id="rId673" xr:uid="{00000000-0004-0000-0000-0000A0020000}"/>
    <hyperlink ref="O680" r:id="rId674" xr:uid="{00000000-0004-0000-0000-0000A1020000}"/>
    <hyperlink ref="O681" r:id="rId675" xr:uid="{00000000-0004-0000-0000-0000A2020000}"/>
    <hyperlink ref="O682" r:id="rId676" xr:uid="{00000000-0004-0000-0000-0000A3020000}"/>
    <hyperlink ref="O683" r:id="rId677" xr:uid="{00000000-0004-0000-0000-0000A4020000}"/>
    <hyperlink ref="O684" r:id="rId678" xr:uid="{00000000-0004-0000-0000-0000A5020000}"/>
    <hyperlink ref="O685" r:id="rId679" xr:uid="{00000000-0004-0000-0000-0000A6020000}"/>
    <hyperlink ref="O686" r:id="rId680" xr:uid="{00000000-0004-0000-0000-0000A7020000}"/>
    <hyperlink ref="O687" r:id="rId681" xr:uid="{00000000-0004-0000-0000-0000A8020000}"/>
    <hyperlink ref="O688" r:id="rId682" xr:uid="{00000000-0004-0000-0000-0000A9020000}"/>
    <hyperlink ref="O689" r:id="rId683" xr:uid="{00000000-0004-0000-0000-0000AA020000}"/>
    <hyperlink ref="O690" r:id="rId684" xr:uid="{00000000-0004-0000-0000-0000AB020000}"/>
    <hyperlink ref="O691" r:id="rId685" xr:uid="{00000000-0004-0000-0000-0000AC020000}"/>
    <hyperlink ref="O692" r:id="rId686" xr:uid="{00000000-0004-0000-0000-0000AD020000}"/>
    <hyperlink ref="O693" r:id="rId687" xr:uid="{00000000-0004-0000-0000-0000AE020000}"/>
    <hyperlink ref="O694" r:id="rId688" xr:uid="{00000000-0004-0000-0000-0000AF020000}"/>
    <hyperlink ref="O695" r:id="rId689" xr:uid="{00000000-0004-0000-0000-0000B0020000}"/>
    <hyperlink ref="O696" r:id="rId690" xr:uid="{00000000-0004-0000-0000-0000B1020000}"/>
    <hyperlink ref="O697" r:id="rId691" xr:uid="{00000000-0004-0000-0000-0000B2020000}"/>
    <hyperlink ref="O698" r:id="rId692" xr:uid="{00000000-0004-0000-0000-0000B3020000}"/>
    <hyperlink ref="O699" r:id="rId693" xr:uid="{00000000-0004-0000-0000-0000B4020000}"/>
    <hyperlink ref="O700" r:id="rId694" xr:uid="{00000000-0004-0000-0000-0000B5020000}"/>
    <hyperlink ref="O701" r:id="rId695" xr:uid="{00000000-0004-0000-0000-0000B6020000}"/>
    <hyperlink ref="O702" r:id="rId696" xr:uid="{00000000-0004-0000-0000-0000B7020000}"/>
    <hyperlink ref="O703" r:id="rId697" xr:uid="{00000000-0004-0000-0000-0000B8020000}"/>
    <hyperlink ref="O704" r:id="rId698" xr:uid="{00000000-0004-0000-0000-0000B9020000}"/>
    <hyperlink ref="O705" r:id="rId699" xr:uid="{00000000-0004-0000-0000-0000BA020000}"/>
    <hyperlink ref="O706" r:id="rId700" xr:uid="{00000000-0004-0000-0000-0000BB020000}"/>
    <hyperlink ref="O707" r:id="rId701" xr:uid="{00000000-0004-0000-0000-0000BC020000}"/>
    <hyperlink ref="O708" r:id="rId702" xr:uid="{00000000-0004-0000-0000-0000BD020000}"/>
    <hyperlink ref="O709" r:id="rId703" xr:uid="{00000000-0004-0000-0000-0000BE020000}"/>
    <hyperlink ref="O710" r:id="rId704" xr:uid="{00000000-0004-0000-0000-0000BF020000}"/>
    <hyperlink ref="O711" r:id="rId705" xr:uid="{00000000-0004-0000-0000-0000C0020000}"/>
    <hyperlink ref="O712" r:id="rId706" xr:uid="{00000000-0004-0000-0000-0000C1020000}"/>
    <hyperlink ref="O713" r:id="rId707" xr:uid="{00000000-0004-0000-0000-0000C2020000}"/>
    <hyperlink ref="O714" r:id="rId708" xr:uid="{00000000-0004-0000-0000-0000C3020000}"/>
    <hyperlink ref="O715" r:id="rId709" xr:uid="{00000000-0004-0000-0000-0000C4020000}"/>
    <hyperlink ref="O716" r:id="rId710" xr:uid="{00000000-0004-0000-0000-0000C5020000}"/>
    <hyperlink ref="O717" r:id="rId711" xr:uid="{00000000-0004-0000-0000-0000C6020000}"/>
    <hyperlink ref="O718" r:id="rId712" xr:uid="{00000000-0004-0000-0000-0000C7020000}"/>
    <hyperlink ref="O719" r:id="rId713" xr:uid="{00000000-0004-0000-0000-0000C8020000}"/>
    <hyperlink ref="O720" r:id="rId714" xr:uid="{00000000-0004-0000-0000-0000C9020000}"/>
    <hyperlink ref="O721" r:id="rId715" xr:uid="{00000000-0004-0000-0000-0000CA020000}"/>
    <hyperlink ref="O722" r:id="rId716" xr:uid="{00000000-0004-0000-0000-0000CB020000}"/>
    <hyperlink ref="O723" r:id="rId717" xr:uid="{00000000-0004-0000-0000-0000CC020000}"/>
    <hyperlink ref="O724" r:id="rId718" xr:uid="{00000000-0004-0000-0000-0000CD020000}"/>
    <hyperlink ref="O725" r:id="rId719" xr:uid="{00000000-0004-0000-0000-0000CE020000}"/>
    <hyperlink ref="O726" r:id="rId720" xr:uid="{00000000-0004-0000-0000-0000CF020000}"/>
    <hyperlink ref="O727" r:id="rId721" xr:uid="{00000000-0004-0000-0000-0000D0020000}"/>
    <hyperlink ref="O728" r:id="rId722" xr:uid="{00000000-0004-0000-0000-0000D1020000}"/>
    <hyperlink ref="O729" r:id="rId723" xr:uid="{00000000-0004-0000-0000-0000D2020000}"/>
    <hyperlink ref="O730" r:id="rId724" xr:uid="{00000000-0004-0000-0000-0000D3020000}"/>
    <hyperlink ref="O731" r:id="rId725" xr:uid="{00000000-0004-0000-0000-0000D4020000}"/>
    <hyperlink ref="O732" r:id="rId726" xr:uid="{00000000-0004-0000-0000-0000D5020000}"/>
    <hyperlink ref="O733" r:id="rId727" xr:uid="{00000000-0004-0000-0000-0000D6020000}"/>
    <hyperlink ref="O734" r:id="rId728" xr:uid="{00000000-0004-0000-0000-0000D7020000}"/>
    <hyperlink ref="O735" r:id="rId729" xr:uid="{00000000-0004-0000-0000-0000D8020000}"/>
    <hyperlink ref="O736" r:id="rId730" xr:uid="{00000000-0004-0000-0000-0000D9020000}"/>
    <hyperlink ref="O737" r:id="rId731" xr:uid="{00000000-0004-0000-0000-0000DA020000}"/>
    <hyperlink ref="O738" r:id="rId732" xr:uid="{00000000-0004-0000-0000-0000DB020000}"/>
    <hyperlink ref="O739" r:id="rId733" xr:uid="{00000000-0004-0000-0000-0000DC020000}"/>
    <hyperlink ref="O740" r:id="rId734" xr:uid="{00000000-0004-0000-0000-0000DD020000}"/>
    <hyperlink ref="O741" r:id="rId735" xr:uid="{00000000-0004-0000-0000-0000DE020000}"/>
    <hyperlink ref="O742" r:id="rId736" xr:uid="{00000000-0004-0000-0000-0000DF020000}"/>
    <hyperlink ref="O743" r:id="rId737" xr:uid="{00000000-0004-0000-0000-0000E0020000}"/>
    <hyperlink ref="O744" r:id="rId738" xr:uid="{00000000-0004-0000-0000-0000E1020000}"/>
    <hyperlink ref="O745" r:id="rId739" xr:uid="{00000000-0004-0000-0000-0000E2020000}"/>
    <hyperlink ref="O746" r:id="rId740" xr:uid="{00000000-0004-0000-0000-0000E3020000}"/>
    <hyperlink ref="O747" r:id="rId741" xr:uid="{00000000-0004-0000-0000-0000E4020000}"/>
    <hyperlink ref="O748" r:id="rId742" xr:uid="{00000000-0004-0000-0000-0000E5020000}"/>
    <hyperlink ref="O749" r:id="rId743" xr:uid="{00000000-0004-0000-0000-0000E6020000}"/>
    <hyperlink ref="O750" r:id="rId744" xr:uid="{00000000-0004-0000-0000-0000E7020000}"/>
    <hyperlink ref="O751" r:id="rId745" xr:uid="{00000000-0004-0000-0000-0000E8020000}"/>
    <hyperlink ref="O752" r:id="rId746" xr:uid="{00000000-0004-0000-0000-0000E9020000}"/>
    <hyperlink ref="O753" r:id="rId747" xr:uid="{00000000-0004-0000-0000-0000EA020000}"/>
    <hyperlink ref="O754" r:id="rId748" xr:uid="{00000000-0004-0000-0000-0000EB020000}"/>
    <hyperlink ref="O755" r:id="rId749" xr:uid="{00000000-0004-0000-0000-0000EC020000}"/>
    <hyperlink ref="O756" r:id="rId750" xr:uid="{00000000-0004-0000-0000-0000ED020000}"/>
    <hyperlink ref="O757" r:id="rId751" xr:uid="{00000000-0004-0000-0000-0000EE020000}"/>
    <hyperlink ref="O758" r:id="rId752" xr:uid="{00000000-0004-0000-0000-0000EF020000}"/>
    <hyperlink ref="O759" r:id="rId753" xr:uid="{00000000-0004-0000-0000-0000F0020000}"/>
    <hyperlink ref="O760" r:id="rId754" xr:uid="{00000000-0004-0000-0000-0000F1020000}"/>
    <hyperlink ref="O761" r:id="rId755" xr:uid="{00000000-0004-0000-0000-0000F2020000}"/>
    <hyperlink ref="O762" r:id="rId756" xr:uid="{00000000-0004-0000-0000-0000F3020000}"/>
    <hyperlink ref="O763" r:id="rId757" xr:uid="{00000000-0004-0000-0000-0000F4020000}"/>
    <hyperlink ref="O764" r:id="rId758" xr:uid="{00000000-0004-0000-0000-0000F5020000}"/>
    <hyperlink ref="O765" r:id="rId759" xr:uid="{00000000-0004-0000-0000-0000F6020000}"/>
    <hyperlink ref="O766" r:id="rId760" xr:uid="{00000000-0004-0000-0000-0000F7020000}"/>
    <hyperlink ref="O767" r:id="rId761" xr:uid="{00000000-0004-0000-0000-0000F8020000}"/>
    <hyperlink ref="O768" r:id="rId762" xr:uid="{00000000-0004-0000-0000-0000F9020000}"/>
    <hyperlink ref="O769" r:id="rId763" xr:uid="{00000000-0004-0000-0000-0000FA020000}"/>
    <hyperlink ref="O770" r:id="rId764" xr:uid="{00000000-0004-0000-0000-0000FB020000}"/>
    <hyperlink ref="O771" r:id="rId765" xr:uid="{00000000-0004-0000-0000-0000FC020000}"/>
    <hyperlink ref="O772" r:id="rId766" xr:uid="{00000000-0004-0000-0000-0000FD020000}"/>
    <hyperlink ref="O773" r:id="rId767" xr:uid="{00000000-0004-0000-0000-0000FE020000}"/>
    <hyperlink ref="O774" r:id="rId768" xr:uid="{00000000-0004-0000-0000-0000FF020000}"/>
    <hyperlink ref="O775" r:id="rId769" xr:uid="{00000000-0004-0000-0000-000000030000}"/>
    <hyperlink ref="O776" r:id="rId770" xr:uid="{00000000-0004-0000-0000-000001030000}"/>
    <hyperlink ref="O777" r:id="rId771" xr:uid="{00000000-0004-0000-0000-000002030000}"/>
    <hyperlink ref="O778" r:id="rId772" xr:uid="{00000000-0004-0000-0000-000003030000}"/>
    <hyperlink ref="O779" r:id="rId773" xr:uid="{00000000-0004-0000-0000-000004030000}"/>
    <hyperlink ref="O780" r:id="rId774" xr:uid="{00000000-0004-0000-0000-000005030000}"/>
    <hyperlink ref="O781" r:id="rId775" xr:uid="{00000000-0004-0000-0000-000006030000}"/>
    <hyperlink ref="O782" r:id="rId776" xr:uid="{00000000-0004-0000-0000-000007030000}"/>
    <hyperlink ref="O783" r:id="rId777" xr:uid="{00000000-0004-0000-0000-000008030000}"/>
    <hyperlink ref="O784" r:id="rId778" xr:uid="{00000000-0004-0000-0000-000009030000}"/>
    <hyperlink ref="O785" r:id="rId779" xr:uid="{00000000-0004-0000-0000-00000A030000}"/>
    <hyperlink ref="O786" r:id="rId780" xr:uid="{00000000-0004-0000-0000-00000B030000}"/>
    <hyperlink ref="O787" r:id="rId781" xr:uid="{00000000-0004-0000-0000-00000C030000}"/>
    <hyperlink ref="O788" r:id="rId782" xr:uid="{00000000-0004-0000-0000-00000D030000}"/>
    <hyperlink ref="O789" r:id="rId783" xr:uid="{00000000-0004-0000-0000-00000E030000}"/>
    <hyperlink ref="O790" r:id="rId784" xr:uid="{00000000-0004-0000-0000-00000F030000}"/>
    <hyperlink ref="O791" r:id="rId785" xr:uid="{00000000-0004-0000-0000-000010030000}"/>
    <hyperlink ref="O792" r:id="rId786" xr:uid="{00000000-0004-0000-0000-000011030000}"/>
    <hyperlink ref="O793" r:id="rId787" xr:uid="{00000000-0004-0000-0000-000012030000}"/>
    <hyperlink ref="O794" r:id="rId788" xr:uid="{00000000-0004-0000-0000-000013030000}"/>
    <hyperlink ref="O795" r:id="rId789" xr:uid="{00000000-0004-0000-0000-000014030000}"/>
    <hyperlink ref="O796" r:id="rId790" xr:uid="{00000000-0004-0000-0000-000015030000}"/>
    <hyperlink ref="O797" r:id="rId791" xr:uid="{00000000-0004-0000-0000-000016030000}"/>
    <hyperlink ref="O798" r:id="rId792" xr:uid="{00000000-0004-0000-0000-000017030000}"/>
    <hyperlink ref="O799" r:id="rId793" xr:uid="{00000000-0004-0000-0000-000018030000}"/>
    <hyperlink ref="O800" r:id="rId794" xr:uid="{00000000-0004-0000-0000-000019030000}"/>
    <hyperlink ref="O801" r:id="rId795" xr:uid="{00000000-0004-0000-0000-00001A030000}"/>
    <hyperlink ref="O802" r:id="rId796" xr:uid="{00000000-0004-0000-0000-00001B030000}"/>
    <hyperlink ref="O803" r:id="rId797" xr:uid="{00000000-0004-0000-0000-00001C030000}"/>
    <hyperlink ref="O804" r:id="rId798" xr:uid="{00000000-0004-0000-0000-00001D030000}"/>
    <hyperlink ref="O805" r:id="rId799" xr:uid="{00000000-0004-0000-0000-00001E030000}"/>
    <hyperlink ref="O806" r:id="rId800" xr:uid="{00000000-0004-0000-0000-00001F030000}"/>
    <hyperlink ref="O808" r:id="rId801" xr:uid="{00000000-0004-0000-0000-000020030000}"/>
    <hyperlink ref="O809" r:id="rId802" xr:uid="{00000000-0004-0000-0000-000021030000}"/>
    <hyperlink ref="O810" r:id="rId803" xr:uid="{00000000-0004-0000-0000-000022030000}"/>
    <hyperlink ref="O811" r:id="rId804" xr:uid="{00000000-0004-0000-0000-000023030000}"/>
    <hyperlink ref="O812" r:id="rId805" xr:uid="{00000000-0004-0000-0000-000024030000}"/>
    <hyperlink ref="O813" r:id="rId806" xr:uid="{00000000-0004-0000-0000-000025030000}"/>
    <hyperlink ref="O814" r:id="rId807" xr:uid="{00000000-0004-0000-0000-000026030000}"/>
    <hyperlink ref="O815" r:id="rId808" xr:uid="{00000000-0004-0000-0000-000027030000}"/>
    <hyperlink ref="O816" r:id="rId809" xr:uid="{00000000-0004-0000-0000-000028030000}"/>
    <hyperlink ref="O817" r:id="rId810" xr:uid="{00000000-0004-0000-0000-000029030000}"/>
    <hyperlink ref="O818" r:id="rId811" xr:uid="{00000000-0004-0000-0000-00002A030000}"/>
    <hyperlink ref="O819" r:id="rId812" xr:uid="{00000000-0004-0000-0000-00002B030000}"/>
    <hyperlink ref="O820" r:id="rId813" xr:uid="{00000000-0004-0000-0000-00002C030000}"/>
    <hyperlink ref="O821" r:id="rId814" xr:uid="{00000000-0004-0000-0000-00002D030000}"/>
    <hyperlink ref="O822" r:id="rId815" xr:uid="{00000000-0004-0000-0000-00002E030000}"/>
    <hyperlink ref="O823" r:id="rId816" xr:uid="{00000000-0004-0000-0000-00002F030000}"/>
    <hyperlink ref="O824" r:id="rId817" xr:uid="{00000000-0004-0000-0000-000030030000}"/>
    <hyperlink ref="O825" r:id="rId818" xr:uid="{00000000-0004-0000-0000-000031030000}"/>
    <hyperlink ref="O826" r:id="rId819" xr:uid="{00000000-0004-0000-0000-000032030000}"/>
    <hyperlink ref="O827" r:id="rId820" xr:uid="{00000000-0004-0000-0000-000033030000}"/>
    <hyperlink ref="O828" r:id="rId821" xr:uid="{00000000-0004-0000-0000-000034030000}"/>
    <hyperlink ref="O829" r:id="rId822" xr:uid="{00000000-0004-0000-0000-000035030000}"/>
    <hyperlink ref="O830" r:id="rId823" xr:uid="{00000000-0004-0000-0000-000036030000}"/>
    <hyperlink ref="O831" r:id="rId824" xr:uid="{00000000-0004-0000-0000-000037030000}"/>
    <hyperlink ref="O832" r:id="rId825" xr:uid="{00000000-0004-0000-0000-000038030000}"/>
    <hyperlink ref="O833" r:id="rId826" xr:uid="{00000000-0004-0000-0000-000039030000}"/>
    <hyperlink ref="O834" r:id="rId827" xr:uid="{00000000-0004-0000-0000-00003A030000}"/>
    <hyperlink ref="O835" r:id="rId828" xr:uid="{00000000-0004-0000-0000-00003B030000}"/>
    <hyperlink ref="O836" r:id="rId829" xr:uid="{00000000-0004-0000-0000-00003C030000}"/>
    <hyperlink ref="O837" r:id="rId830" xr:uid="{00000000-0004-0000-0000-00003D030000}"/>
    <hyperlink ref="O838" r:id="rId831" xr:uid="{00000000-0004-0000-0000-00003E030000}"/>
    <hyperlink ref="O839" r:id="rId832" xr:uid="{00000000-0004-0000-0000-00003F030000}"/>
    <hyperlink ref="O840" r:id="rId833" xr:uid="{00000000-0004-0000-0000-000040030000}"/>
    <hyperlink ref="O841" r:id="rId834" xr:uid="{00000000-0004-0000-0000-000041030000}"/>
    <hyperlink ref="O842" r:id="rId835" xr:uid="{00000000-0004-0000-0000-000042030000}"/>
    <hyperlink ref="O843" r:id="rId836" xr:uid="{00000000-0004-0000-0000-000043030000}"/>
    <hyperlink ref="O844" r:id="rId837" xr:uid="{00000000-0004-0000-0000-000044030000}"/>
    <hyperlink ref="O845" r:id="rId838" xr:uid="{00000000-0004-0000-0000-000045030000}"/>
    <hyperlink ref="O846" r:id="rId839" xr:uid="{00000000-0004-0000-0000-000046030000}"/>
    <hyperlink ref="O847" r:id="rId840" xr:uid="{00000000-0004-0000-0000-000047030000}"/>
    <hyperlink ref="O848" r:id="rId841" xr:uid="{00000000-0004-0000-0000-000048030000}"/>
    <hyperlink ref="O849" r:id="rId842" xr:uid="{00000000-0004-0000-0000-000049030000}"/>
    <hyperlink ref="O850" r:id="rId843" xr:uid="{00000000-0004-0000-0000-00004A030000}"/>
    <hyperlink ref="O851" r:id="rId844" xr:uid="{00000000-0004-0000-0000-00004B030000}"/>
    <hyperlink ref="O852" r:id="rId845" xr:uid="{00000000-0004-0000-0000-00004C030000}"/>
    <hyperlink ref="O853" r:id="rId846" xr:uid="{00000000-0004-0000-0000-00004D030000}"/>
    <hyperlink ref="O854" r:id="rId847" xr:uid="{00000000-0004-0000-0000-00004E030000}"/>
    <hyperlink ref="O855" r:id="rId848" xr:uid="{00000000-0004-0000-0000-00004F030000}"/>
    <hyperlink ref="O856" r:id="rId849" xr:uid="{00000000-0004-0000-0000-000050030000}"/>
  </hyperlinks>
  <pageMargins left="0.7" right="0.7" top="0.75" bottom="0.75" header="0.3" footer="0.3"/>
  <pageSetup paperSize="9" scale="60" orientation="portrait" r:id="rId8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الورقة1</vt:lpstr>
      <vt:lpstr>الورقة1!Print_Area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2026-07-30T14:08:55Z</cp:lastPrinted>
  <dcterms:created xsi:type="dcterms:W3CDTF">2026-06-14T11:04:49Z</dcterms:created>
  <dcterms:modified xsi:type="dcterms:W3CDTF">2026-08-25T07:39:53Z</dcterms:modified>
</cp:coreProperties>
</file>